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'06'!$A$1:$S$119</definedName>
    <definedName name="_xlnm.Print_Area" localSheetId="13">'07'!$A$1:$T$123</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14.xml><?xml version="1.0" encoding="utf-8"?>
<comments xmlns="http://schemas.openxmlformats.org/spreadsheetml/2006/main">
  <authors>
    <author>IT DAK LAK</author>
  </authors>
  <commentList>
    <comment ref="C107" authorId="0">
      <text>
        <r>
          <rPr>
            <b/>
            <sz val="8"/>
            <rFont val="Tahoma"/>
            <family val="2"/>
          </rPr>
          <t>IT DAK LAK:</t>
        </r>
        <r>
          <rPr>
            <sz val="8"/>
            <rFont val="Tahoma"/>
            <family val="2"/>
          </rPr>
          <t xml:space="preserve">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<sst xmlns="http://schemas.openxmlformats.org/spreadsheetml/2006/main" count="1257" uniqueCount="595">
  <si>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</si>
  <si>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</si>
  <si>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</si>
  <si>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</si>
  <si>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</si>
  <si>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</si>
  <si>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</si>
  <si>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</si>
  <si>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</si>
  <si>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</si>
  <si>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</si>
  <si>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</si>
  <si>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</si>
  <si>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</si>
  <si>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</si>
  <si>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</si>
  <si>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</si>
  <si>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</si>
  <si>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</si>
  <si>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</si>
  <si>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</si>
  <si>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</si>
  <si>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</si>
  <si>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</si>
  <si>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</si>
  <si>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</si>
  <si>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</si>
  <si>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</si>
  <si>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</si>
  <si>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</si>
  <si>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</si>
  <si>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</si>
  <si>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</si>
  <si>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</si>
  <si>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</si>
  <si>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</si>
  <si>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</si>
  <si>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</si>
  <si>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</si>
  <si>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</si>
  <si>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</si>
  <si>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</si>
  <si>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</si>
  <si>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</si>
  <si>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</si>
  <si>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</si>
  <si>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</si>
  <si>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</si>
  <si>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</si>
  <si>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</si>
  <si>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</si>
  <si>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</si>
  <si>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</si>
  <si>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</si>
  <si>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</si>
  <si>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</si>
  <si>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</si>
  <si>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</si>
  <si>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</si>
  <si>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</si>
  <si>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</si>
  <si>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</si>
  <si>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</si>
  <si>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</si>
  <si>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</si>
  <si>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</si>
  <si>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</si>
  <si>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</si>
  <si>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</si>
  <si>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</si>
  <si>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</si>
  <si>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</si>
  <si>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</si>
  <si>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</si>
  <si>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</si>
  <si>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</si>
  <si>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</si>
  <si>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</si>
  <si>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</si>
  <si>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</si>
  <si>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</si>
  <si>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</si>
  <si>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</si>
  <si>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</si>
  <si>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</si>
  <si>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</si>
  <si>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</si>
  <si>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</si>
  <si>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</si>
  <si>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</si>
  <si>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</si>
  <si>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</si>
  <si>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</si>
  <si>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</si>
  <si>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</si>
  <si>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</si>
  <si>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</si>
  <si>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</si>
  <si>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</si>
  <si>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</si>
  <si>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</si>
  <si>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</si>
  <si>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</si>
  <si>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</si>
  <si>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</si>
  <si>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</si>
  <si>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</si>
  <si>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</si>
  <si>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</si>
  <si>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</si>
  <si>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</si>
  <si>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</si>
  <si>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</si>
  <si>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</si>
  <si>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</si>
  <si>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</si>
  <si>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</si>
  <si>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</si>
  <si>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</si>
  <si>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</si>
  <si>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</si>
  <si>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</si>
  <si>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</si>
  <si>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</si>
  <si>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</si>
  <si>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</si>
  <si>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</si>
  <si>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</si>
  <si>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</si>
  <si>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</si>
  <si>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</si>
  <si>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</si>
  <si>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</si>
  <si>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</si>
  <si>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</si>
  <si>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</si>
  <si>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</si>
  <si>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</si>
  <si>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</si>
  <si>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</si>
  <si>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</si>
  <si>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</si>
  <si>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</si>
  <si>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</si>
  <si>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</si>
  <si>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</si>
  <si>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</si>
  <si>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</si>
  <si>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</si>
  <si>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</si>
  <si>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</si>
  <si>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</si>
  <si>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</si>
  <si>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</si>
  <si>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</si>
  <si>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</si>
  <si>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</si>
  <si>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</si>
  <si>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</si>
  <si>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</si>
  <si>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</si>
  <si>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</si>
  <si>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</si>
  <si>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</si>
  <si>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</si>
  <si>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</si>
  <si>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</si>
  <si>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</si>
  <si>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</si>
  <si>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</si>
  <si>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</si>
  <si>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</si>
  <si>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</si>
  <si>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</si>
  <si>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</si>
  <si>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</si>
  <si>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</si>
  <si>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</si>
  <si>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</si>
  <si>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</si>
  <si>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</si>
  <si>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</si>
  <si>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</si>
  <si>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</si>
  <si>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</si>
  <si>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</si>
  <si>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</si>
  <si>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</si>
  <si>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</si>
  <si>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</si>
  <si>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</si>
  <si>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</si>
  <si>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</si>
  <si>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</si>
  <si>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</si>
  <si>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</si>
  <si>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</si>
  <si>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</si>
  <si>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</si>
  <si>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</si>
  <si>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</si>
  <si>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</si>
  <si>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</si>
  <si>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</si>
  <si>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</si>
  <si>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</si>
  <si>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</si>
  <si>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</si>
  <si>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</si>
  <si>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</si>
  <si>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</si>
  <si>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</si>
  <si>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</si>
  <si>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</si>
  <si>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</si>
  <si>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</si>
  <si>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</si>
  <si>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</si>
  <si>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</si>
  <si>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</si>
  <si>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</si>
  <si>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</si>
  <si>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</si>
  <si>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</si>
  <si>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</si>
  <si>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</si>
  <si>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</si>
  <si>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</si>
  <si>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</si>
  <si>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</si>
  <si>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</si>
  <si>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</si>
  <si>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</si>
  <si>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</si>
  <si>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</si>
  <si>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</si>
  <si>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</si>
  <si>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</si>
  <si>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</si>
  <si>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</si>
  <si>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</si>
  <si>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</si>
  <si>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</si>
  <si>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</si>
  <si>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</si>
  <si>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</si>
  <si>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</si>
  <si>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</si>
  <si>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</si>
  <si>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</si>
  <si>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</si>
  <si>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</si>
  <si>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</si>
  <si>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</si>
  <si>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</si>
  <si>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</si>
  <si>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</si>
  <si>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</si>
  <si>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</si>
  <si>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</si>
  <si>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</si>
  <si>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</si>
  <si>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</si>
  <si>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</si>
  <si>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</si>
  <si>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</si>
  <si>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</si>
  <si>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</si>
  <si>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</si>
  <si>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</si>
  <si>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</si>
  <si>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</si>
  <si>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</si>
  <si>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</si>
  <si>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</si>
  <si>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</si>
  <si>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</si>
  <si>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</si>
  <si>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</si>
  <si>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</si>
  <si>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</si>
  <si>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</si>
  <si>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</si>
  <si>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</si>
  <si>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</si>
  <si>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</si>
  <si>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</si>
  <si>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</si>
  <si>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</si>
  <si>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</si>
  <si>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</si>
  <si>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</si>
  <si>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</si>
  <si>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</si>
  <si>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</si>
  <si>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</si>
  <si>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</si>
  <si>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</si>
  <si>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</si>
  <si>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</si>
  <si>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</si>
  <si>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</si>
  <si>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</si>
  <si>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</si>
  <si>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</si>
  <si>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</si>
  <si>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</si>
  <si>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</si>
  <si>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</si>
  <si>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</si>
  <si>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</si>
  <si>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</si>
  <si>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</si>
  <si>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</si>
  <si>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</si>
  <si>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</si>
  <si>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</si>
  <si>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</si>
  <si>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</si>
  <si>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</si>
  <si>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</si>
  <si>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</si>
  <si>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</si>
  <si>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</si>
  <si>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</si>
  <si>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</si>
  <si>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</si>
  <si>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</si>
  <si>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</si>
  <si>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</si>
  <si>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</si>
  <si>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</si>
  <si>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</si>
  <si>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</si>
  <si>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</si>
  <si>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</si>
  <si>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</si>
  <si>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</si>
  <si>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</si>
  <si>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</si>
  <si>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</si>
  <si>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</si>
  <si>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</si>
  <si>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</si>
  <si>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</si>
  <si>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</si>
  <si>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</si>
  <si>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</si>
  <si>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</si>
  <si>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</si>
  <si>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</si>
  <si>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</si>
  <si>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</si>
  <si>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</si>
  <si>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</si>
  <si>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</si>
  <si>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</si>
  <si>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</si>
  <si>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</si>
  <si>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</si>
  <si>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</si>
  <si>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</si>
  <si>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</si>
  <si>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</si>
  <si>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</si>
  <si>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</si>
  <si>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</si>
  <si>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</si>
  <si>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</si>
  <si>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</si>
  <si>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</si>
  <si>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</si>
  <si>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</si>
  <si>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</si>
  <si>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</si>
  <si>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</si>
  <si>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</si>
  <si>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</si>
  <si>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</si>
  <si>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</si>
  <si>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</si>
  <si>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</si>
  <si>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</si>
  <si>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</si>
  <si>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</si>
  <si>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</si>
  <si>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</si>
  <si>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</si>
  <si>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</si>
  <si>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</si>
  <si>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</si>
  <si>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</si>
  <si>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</si>
  <si>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</si>
  <si>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</si>
  <si>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</si>
  <si>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</si>
  <si>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</si>
  <si>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</si>
  <si>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</si>
  <si>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</si>
  <si>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</si>
  <si>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</si>
  <si>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</si>
  <si>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</si>
  <si>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</si>
  <si>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</si>
  <si>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</si>
  <si>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</si>
  <si>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</si>
  <si>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</si>
  <si>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</si>
  <si>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</si>
  <si>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</si>
  <si>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</si>
  <si>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</si>
  <si>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</si>
  <si>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</si>
  <si>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</si>
  <si>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</si>
  <si>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</si>
  <si>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</si>
  <si>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</si>
  <si>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</si>
  <si>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</si>
  <si>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</si>
  <si>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</si>
  <si>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</si>
  <si>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</si>
  <si>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</si>
  <si>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</si>
  <si>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</si>
  <si>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</si>
  <si>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Nguyễn Thị Mai Hoa</t>
  </si>
  <si>
    <t>0</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</si>
  <si>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</si>
  <si>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</si>
  <si>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</si>
  <si>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</si>
  <si>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</si>
  <si>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</si>
  <si>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</si>
  <si>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</si>
  <si>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</si>
  <si>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</si>
  <si>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</si>
  <si>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</si>
  <si>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</si>
  <si>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</si>
  <si>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</si>
  <si>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</si>
  <si>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</si>
  <si>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</si>
  <si>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</si>
  <si>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</si>
  <si>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</si>
  <si>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</si>
  <si>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 xml:space="preserve"> Nguyễn Phi Hùng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</si>
  <si>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</si>
  <si>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</si>
  <si>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</si>
  <si>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</si>
  <si>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</si>
  <si>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</si>
  <si>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</si>
  <si>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</si>
  <si>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</si>
  <si>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H.Bạch Long Vĩ</t>
  </si>
  <si>
    <t>Nguyễn Đồng Lai</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</si>
  <si>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</si>
  <si>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</si>
  <si>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</si>
  <si>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</si>
  <si>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</si>
  <si>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</si>
  <si>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</si>
  <si>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</si>
  <si>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</si>
  <si>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</si>
  <si>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</si>
  <si>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</si>
  <si>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</si>
  <si>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5.8</t>
  </si>
  <si>
    <t>Nguyễn Thị Phích</t>
  </si>
  <si>
    <t xml:space="preserve"> Q.Hải An</t>
  </si>
  <si>
    <t xml:space="preserve"> Nguyễn Văn Lai</t>
  </si>
  <si>
    <t>Ng.Thị Ph.Thảo</t>
  </si>
  <si>
    <t>Trịnh Quang Khánh</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</si>
  <si>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</si>
  <si>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</si>
  <si>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</si>
  <si>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</si>
  <si>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</si>
  <si>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</si>
  <si>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</si>
  <si>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</si>
  <si>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</si>
  <si>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</si>
  <si>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</si>
  <si>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</si>
  <si>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</si>
  <si>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</si>
  <si>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</si>
  <si>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</si>
  <si>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</si>
  <si>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</si>
  <si>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</si>
  <si>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</si>
  <si>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</si>
  <si>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</si>
  <si>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</si>
  <si>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10.8</t>
  </si>
  <si>
    <t>10.9</t>
  </si>
  <si>
    <t>10.10</t>
  </si>
  <si>
    <t xml:space="preserve"> H.Cát Hải</t>
  </si>
  <si>
    <t>11.1</t>
  </si>
  <si>
    <t>Nguyễn Tiến Dược</t>
  </si>
  <si>
    <t>11.2</t>
  </si>
  <si>
    <t xml:space="preserve"> Hồ Anh Văn</t>
  </si>
  <si>
    <t xml:space="preserve"> H.Tiên Lãng</t>
  </si>
  <si>
    <t xml:space="preserve"> Lê Văn Diên</t>
  </si>
  <si>
    <t xml:space="preserve"> H.Thủy Nguyên</t>
  </si>
  <si>
    <t>Nguyễn Thế Mạnh</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</si>
  <si>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</si>
  <si>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</si>
  <si>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</si>
  <si>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</si>
  <si>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</si>
  <si>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</si>
  <si>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</si>
  <si>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</si>
  <si>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</si>
  <si>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</si>
  <si>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</si>
  <si>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</si>
  <si>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</si>
  <si>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</si>
  <si>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</si>
  <si>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</si>
  <si>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t>Trần Thị Minh</t>
  </si>
  <si>
    <r>
      <t xml:space="preserve">CTHADS </t>
    </r>
    <r>
      <rPr>
        <sz val="12"/>
        <color indexed="10"/>
        <rFont val="Times New Roman"/>
        <family val="1"/>
      </rPr>
      <t>Hải Phòng</t>
    </r>
  </si>
  <si>
    <t xml:space="preserve">
PHÓ CỤC TRƯỞNG</t>
  </si>
  <si>
    <t>Bùi Đức Tiến</t>
  </si>
  <si>
    <t>Đỗ Khắc Oanh</t>
  </si>
  <si>
    <t>Đỗ Thị Thanh Thủy</t>
  </si>
  <si>
    <t>Nguyễn Trí Thành</t>
  </si>
  <si>
    <t>Bùi Mạnh Hùng</t>
  </si>
  <si>
    <t>Phạm Thị Thu Hiền</t>
  </si>
  <si>
    <t>Hoàng Vân Anh</t>
  </si>
  <si>
    <t>8.3</t>
  </si>
  <si>
    <t xml:space="preserve"> Bùi Văn Châu</t>
  </si>
  <si>
    <t xml:space="preserve"> Tạ Văn Quảng</t>
  </si>
  <si>
    <t>Đỗ Văn Hoàng</t>
  </si>
  <si>
    <t xml:space="preserve"> Nguyễn Thị Xuân Hoa</t>
  </si>
  <si>
    <t xml:space="preserve"> Đinh Thị Quyên</t>
  </si>
  <si>
    <t xml:space="preserve"> Kiều Thị Hạnh Nguyên</t>
  </si>
  <si>
    <t>Phùng Ngọc Huy</t>
  </si>
  <si>
    <t>13.10</t>
  </si>
  <si>
    <t xml:space="preserve"> Hoàng Trọng Hiếu</t>
  </si>
  <si>
    <t>13.11</t>
  </si>
  <si>
    <t>Tô Anh Dũng</t>
  </si>
  <si>
    <t>Lương Thanh Thủy</t>
  </si>
  <si>
    <t>Phạm Văn Phúc</t>
  </si>
  <si>
    <t>Hải Phòng, ngày 05 tháng 8 năm 2016</t>
  </si>
  <si>
    <t>PHÓ CỤC TRƯỞNG</t>
  </si>
  <si>
    <t xml:space="preserve">Nguyễn Thị Mai Hoa </t>
  </si>
  <si>
    <t>Q. Hồng Bàng</t>
  </si>
  <si>
    <t>10.2</t>
  </si>
  <si>
    <t>Lê Thị Tuyết Thanh</t>
  </si>
  <si>
    <t>Nguyễn Thanh Hải</t>
  </si>
  <si>
    <t>Nguyễn T Diệp Anh</t>
  </si>
  <si>
    <t>Lê Văn Thụy</t>
  </si>
  <si>
    <t>Hoàng Tiến Dũng</t>
  </si>
  <si>
    <t>Nguyễn Văn Lai</t>
  </si>
  <si>
    <t>Nguyễn T.P Thảo</t>
  </si>
  <si>
    <t>Nguyễn Văn Thảnh</t>
  </si>
  <si>
    <t>Phạm Thế Toàn</t>
  </si>
  <si>
    <t>Lê Văn Diên</t>
  </si>
  <si>
    <t>Lê Viết Thắng</t>
  </si>
  <si>
    <t>64</t>
  </si>
  <si>
    <t>79</t>
  </si>
  <si>
    <t>100</t>
  </si>
  <si>
    <t>Hải Phòng, ngày 06 tháng 01 năm 2017</t>
  </si>
  <si>
    <t>Nguyễn Thị Thủy</t>
  </si>
  <si>
    <t>88</t>
  </si>
  <si>
    <t>48</t>
  </si>
  <si>
    <t>53</t>
  </si>
  <si>
    <t>153</t>
  </si>
  <si>
    <t>115</t>
  </si>
  <si>
    <r>
      <rPr>
        <sz val="12"/>
        <color indexed="10"/>
        <rFont val="Times New Roman"/>
        <family val="1"/>
      </rPr>
      <t>04</t>
    </r>
    <r>
      <rPr>
        <sz val="12"/>
        <rFont val="Times New Roman"/>
        <family val="1"/>
      </rPr>
      <t xml:space="preserve"> tháng / năm 2017</t>
    </r>
  </si>
  <si>
    <r>
      <t xml:space="preserve">Hải Phòng, ngày </t>
    </r>
    <r>
      <rPr>
        <sz val="12"/>
        <color indexed="10"/>
        <rFont val="Times New Roman"/>
        <family val="1"/>
      </rPr>
      <t xml:space="preserve">07 </t>
    </r>
    <r>
      <rPr>
        <sz val="12"/>
        <rFont val="Times New Roman"/>
        <family val="1"/>
      </rPr>
      <t>tháng 02 năm 2017</t>
    </r>
  </si>
  <si>
    <t>6.1</t>
  </si>
  <si>
    <t>6.2</t>
  </si>
  <si>
    <t>6.3</t>
  </si>
  <si>
    <t>6.4</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</si>
</sst>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
    <numFmt numFmtId="217" formatCode="_(* #,##0_);_(* \(#,##0\);_(* &quot;&quot;??_);_(@_)"/>
  </numFmts>
  <fonts count="150">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sz val="11"/>
      <color indexed="8"/>
      <name val="Calibri"/>
      <family val="2"/>
    </font>
    <font>
      <i/>
      <sz val="8"/>
      <color indexed="10"/>
      <name val="Times New Roman"/>
      <family val="1"/>
    </font>
    <font>
      <b/>
      <sz val="14"/>
      <color indexed="10"/>
      <name val="Times New Roman"/>
      <family val="1"/>
    </font>
    <font>
      <b/>
      <sz val="8"/>
      <name val="Tahoma"/>
      <family val="2"/>
    </font>
    <font>
      <sz val="8"/>
      <name val="Tahoma"/>
      <family val="2"/>
    </font>
    <font>
      <sz val="8"/>
      <color indexed="10"/>
      <name val="Times New Roman"/>
      <family val="1"/>
    </font>
    <font>
      <sz val="8"/>
      <name val="Segoe UI Symbol"/>
      <family val="2"/>
    </font>
    <font>
      <sz val="9"/>
      <name val=".VnTime"/>
      <family val="2"/>
    </font>
    <font>
      <sz val="9"/>
      <name val="Arial Narrow"/>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Times New Roman"/>
      <family val="1"/>
    </font>
    <font>
      <sz val="11"/>
      <color rgb="FFFF0000"/>
      <name val="Times New Roman"/>
      <family val="1"/>
    </font>
    <font>
      <sz val="8"/>
      <color theme="1"/>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double"/>
      <top style="double"/>
      <bottom style="thin"/>
    </border>
    <border>
      <left>
        <color indexed="63"/>
      </left>
      <right>
        <color indexed="63"/>
      </right>
      <top>
        <color indexed="63"/>
      </top>
      <bottom style="double"/>
    </border>
    <border>
      <left style="thin"/>
      <right style="thin"/>
      <top style="double"/>
      <bottom style="thin"/>
    </border>
    <border>
      <left style="double"/>
      <right style="thin"/>
      <top style="double"/>
      <bottom style="thin"/>
    </border>
    <border>
      <left style="double"/>
      <right style="thin"/>
      <top style="thin"/>
      <bottom style="thin"/>
    </border>
  </borders>
  <cellStyleXfs count="2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0"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30"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0"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30"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30"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30"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30"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30"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30"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30" fillId="1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30" fillId="1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30"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31"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131" fillId="2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31"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31"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31"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31"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31"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131"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31" fillId="3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131" fillId="3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31" fillId="3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31"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32" fillId="36"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33" fillId="37" borderId="1" applyNumberFormat="0" applyAlignment="0" applyProtection="0"/>
    <xf numFmtId="0" fontId="40" fillId="38" borderId="2" applyNumberFormat="0" applyAlignment="0" applyProtection="0"/>
    <xf numFmtId="0" fontId="40"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4" fillId="39" borderId="3" applyNumberFormat="0" applyAlignment="0" applyProtection="0"/>
    <xf numFmtId="0" fontId="41" fillId="40" borderId="4" applyNumberFormat="0" applyAlignment="0" applyProtection="0"/>
    <xf numFmtId="0" fontId="41" fillId="40" borderId="4" applyNumberFormat="0" applyAlignment="0" applyProtection="0"/>
    <xf numFmtId="0" fontId="135"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36" fillId="41"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137"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138" fillId="0" borderId="7"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139" fillId="0" borderId="9"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13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40" fillId="42" borderId="1" applyNumberFormat="0" applyAlignment="0" applyProtection="0"/>
    <xf numFmtId="0" fontId="47" fillId="9" borderId="2" applyNumberFormat="0" applyAlignment="0" applyProtection="0"/>
    <xf numFmtId="0" fontId="47" fillId="9" borderId="2" applyNumberFormat="0" applyAlignment="0" applyProtection="0"/>
    <xf numFmtId="0" fontId="141" fillId="0" borderId="11"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142" fillId="4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37" fillId="46" borderId="14" applyNumberFormat="0" applyFont="0" applyAlignment="0" applyProtection="0"/>
    <xf numFmtId="0" fontId="37" fillId="46" borderId="14" applyNumberFormat="0" applyFont="0" applyAlignment="0" applyProtection="0"/>
    <xf numFmtId="0" fontId="143" fillId="37" borderId="15" applyNumberFormat="0" applyAlignment="0" applyProtection="0"/>
    <xf numFmtId="0" fontId="50" fillId="38" borderId="16" applyNumberFormat="0" applyAlignment="0" applyProtection="0"/>
    <xf numFmtId="0" fontId="50"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45"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14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973">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262" applyNumberFormat="1" applyFont="1" applyFill="1" applyBorder="1" applyAlignment="1" applyProtection="1">
      <alignment horizontal="center" vertical="center"/>
      <protection/>
    </xf>
    <xf numFmtId="49" fontId="0" fillId="47" borderId="0" xfId="264" applyNumberFormat="1" applyFont="1" applyFill="1" applyBorder="1" applyAlignment="1">
      <alignment horizontal="left"/>
      <protection/>
    </xf>
    <xf numFmtId="49" fontId="0" fillId="0" borderId="0" xfId="264" applyNumberFormat="1" applyFont="1">
      <alignment/>
      <protection/>
    </xf>
    <xf numFmtId="49" fontId="0" fillId="0" borderId="0" xfId="264" applyNumberFormat="1">
      <alignment/>
      <protection/>
    </xf>
    <xf numFmtId="49" fontId="0" fillId="0" borderId="0" xfId="264" applyNumberFormat="1" applyFont="1" applyAlignment="1">
      <alignment horizontal="left"/>
      <protection/>
    </xf>
    <xf numFmtId="49" fontId="0" fillId="0" borderId="0" xfId="264" applyNumberFormat="1" applyFont="1" applyBorder="1" applyAlignment="1">
      <alignment wrapText="1"/>
      <protection/>
    </xf>
    <xf numFmtId="49" fontId="15" fillId="0" borderId="0" xfId="264" applyNumberFormat="1" applyFont="1" applyAlignment="1">
      <alignment/>
      <protection/>
    </xf>
    <xf numFmtId="49" fontId="0" fillId="0" borderId="0" xfId="264" applyNumberFormat="1" applyFont="1" applyBorder="1" applyAlignment="1">
      <alignment horizontal="left" wrapText="1"/>
      <protection/>
    </xf>
    <xf numFmtId="49" fontId="18" fillId="0" borderId="0" xfId="264" applyNumberFormat="1" applyFont="1" applyAlignment="1">
      <alignment horizontal="left"/>
      <protection/>
    </xf>
    <xf numFmtId="49" fontId="0" fillId="0" borderId="0" xfId="264" applyNumberFormat="1" applyFont="1" applyFill="1" applyAlignment="1">
      <alignment/>
      <protection/>
    </xf>
    <xf numFmtId="49" fontId="0" fillId="0" borderId="0" xfId="264" applyNumberFormat="1" applyFont="1" applyFill="1" applyAlignment="1">
      <alignment horizontal="center"/>
      <protection/>
    </xf>
    <xf numFmtId="49" fontId="0" fillId="0" borderId="0" xfId="264" applyNumberFormat="1" applyFont="1" applyAlignment="1">
      <alignment horizontal="center"/>
      <protection/>
    </xf>
    <xf numFmtId="49" fontId="0" fillId="0" borderId="0" xfId="264" applyNumberFormat="1" applyFont="1" applyFill="1">
      <alignment/>
      <protection/>
    </xf>
    <xf numFmtId="49" fontId="13" fillId="47" borderId="22" xfId="264" applyNumberFormat="1" applyFont="1" applyFill="1" applyBorder="1" applyAlignment="1">
      <alignment/>
      <protection/>
    </xf>
    <xf numFmtId="49" fontId="7" fillId="0" borderId="20" xfId="264" applyNumberFormat="1" applyFont="1" applyFill="1" applyBorder="1" applyAlignment="1">
      <alignment horizontal="center" vertical="center" wrapText="1"/>
      <protection/>
    </xf>
    <xf numFmtId="49" fontId="54" fillId="48" borderId="20" xfId="264" applyNumberFormat="1" applyFont="1" applyFill="1" applyBorder="1" applyAlignment="1">
      <alignment horizontal="center"/>
      <protection/>
    </xf>
    <xf numFmtId="49" fontId="7" fillId="0" borderId="21" xfId="264" applyNumberFormat="1" applyFont="1" applyFill="1" applyBorder="1" applyAlignment="1">
      <alignment horizontal="center" vertical="center" wrapText="1"/>
      <protection/>
    </xf>
    <xf numFmtId="49" fontId="7" fillId="0" borderId="20" xfId="264" applyNumberFormat="1" applyFont="1" applyBorder="1" applyAlignment="1">
      <alignment horizontal="center" vertical="center" wrapText="1"/>
      <protection/>
    </xf>
    <xf numFmtId="49" fontId="55" fillId="0" borderId="20" xfId="264" applyNumberFormat="1" applyFont="1" applyFill="1" applyBorder="1" applyAlignment="1">
      <alignment horizontal="center" vertical="center" wrapText="1"/>
      <protection/>
    </xf>
    <xf numFmtId="49" fontId="18" fillId="0" borderId="20" xfId="264" applyNumberFormat="1" applyFont="1" applyBorder="1" applyAlignment="1">
      <alignment horizontal="center" vertical="center"/>
      <protection/>
    </xf>
    <xf numFmtId="3" fontId="0" fillId="0" borderId="20" xfId="264" applyNumberFormat="1" applyFont="1" applyBorder="1" applyAlignment="1">
      <alignment horizontal="center" vertical="center"/>
      <protection/>
    </xf>
    <xf numFmtId="3" fontId="0" fillId="0" borderId="20" xfId="264" applyNumberFormat="1" applyFont="1" applyBorder="1" applyAlignment="1">
      <alignment vertical="center"/>
      <protection/>
    </xf>
    <xf numFmtId="49" fontId="0" fillId="0" borderId="0" xfId="264" applyNumberFormat="1" applyAlignment="1">
      <alignment vertical="center"/>
      <protection/>
    </xf>
    <xf numFmtId="3" fontId="53" fillId="3" borderId="20" xfId="264" applyNumberFormat="1" applyFont="1" applyFill="1" applyBorder="1" applyAlignment="1">
      <alignment vertical="center"/>
      <protection/>
    </xf>
    <xf numFmtId="3" fontId="58" fillId="3" borderId="20" xfId="264" applyNumberFormat="1" applyFont="1" applyFill="1" applyBorder="1" applyAlignment="1">
      <alignment vertical="center"/>
      <protection/>
    </xf>
    <xf numFmtId="49" fontId="59" fillId="0" borderId="20" xfId="264" applyNumberFormat="1" applyFont="1" applyBorder="1" applyAlignment="1">
      <alignment horizontal="center" vertical="center"/>
      <protection/>
    </xf>
    <xf numFmtId="3" fontId="25" fillId="44" borderId="20" xfId="264" applyNumberFormat="1" applyFont="1" applyFill="1" applyBorder="1" applyAlignment="1">
      <alignment vertical="center"/>
      <protection/>
    </xf>
    <xf numFmtId="3" fontId="3" fillId="48" borderId="20" xfId="264" applyNumberFormat="1" applyFont="1" applyFill="1" applyBorder="1" applyAlignment="1">
      <alignment horizontal="center" vertical="center"/>
      <protection/>
    </xf>
    <xf numFmtId="3" fontId="3" fillId="48" borderId="20" xfId="264" applyNumberFormat="1" applyFont="1" applyFill="1" applyBorder="1" applyAlignment="1">
      <alignment vertical="center"/>
      <protection/>
    </xf>
    <xf numFmtId="49" fontId="7" fillId="44" borderId="20" xfId="264" applyNumberFormat="1" applyFont="1" applyFill="1" applyBorder="1" applyAlignment="1">
      <alignment horizontal="center" vertical="center"/>
      <protection/>
    </xf>
    <xf numFmtId="49" fontId="7" fillId="44" borderId="20" xfId="264" applyNumberFormat="1" applyFont="1" applyFill="1" applyBorder="1" applyAlignment="1">
      <alignment horizontal="left" vertical="center"/>
      <protection/>
    </xf>
    <xf numFmtId="3" fontId="29" fillId="48" borderId="20" xfId="264" applyNumberFormat="1" applyFont="1" applyFill="1" applyBorder="1" applyAlignment="1">
      <alignment vertical="center"/>
      <protection/>
    </xf>
    <xf numFmtId="3" fontId="29" fillId="0" borderId="20" xfId="264" applyNumberFormat="1" applyFont="1" applyFill="1" applyBorder="1" applyAlignment="1">
      <alignment vertical="center"/>
      <protection/>
    </xf>
    <xf numFmtId="9" fontId="0" fillId="0" borderId="0" xfId="275" applyFont="1" applyAlignment="1">
      <alignment vertical="center"/>
    </xf>
    <xf numFmtId="49" fontId="7" fillId="44" borderId="23" xfId="264" applyNumberFormat="1" applyFont="1" applyFill="1" applyBorder="1" applyAlignment="1">
      <alignment horizontal="center" vertical="center"/>
      <protection/>
    </xf>
    <xf numFmtId="3" fontId="25" fillId="44" borderId="20" xfId="264" applyNumberFormat="1" applyFont="1" applyFill="1" applyBorder="1" applyAlignment="1">
      <alignment vertical="center"/>
      <protection/>
    </xf>
    <xf numFmtId="49" fontId="4" fillId="0" borderId="20" xfId="264" applyNumberFormat="1" applyFont="1" applyBorder="1" applyAlignment="1">
      <alignment horizontal="center" vertical="center"/>
      <protection/>
    </xf>
    <xf numFmtId="49" fontId="4" fillId="47" borderId="20" xfId="264" applyNumberFormat="1" applyFont="1" applyFill="1" applyBorder="1" applyAlignment="1">
      <alignment horizontal="left" vertical="center"/>
      <protection/>
    </xf>
    <xf numFmtId="49" fontId="5" fillId="47" borderId="20" xfId="264" applyNumberFormat="1" applyFont="1" applyFill="1" applyBorder="1" applyAlignment="1">
      <alignment horizontal="left" vertical="center"/>
      <protection/>
    </xf>
    <xf numFmtId="3" fontId="29" fillId="0" borderId="20" xfId="265" applyNumberFormat="1" applyFont="1" applyFill="1" applyBorder="1" applyAlignment="1">
      <alignment vertical="center"/>
      <protection/>
    </xf>
    <xf numFmtId="49" fontId="20" fillId="0" borderId="0" xfId="264" applyNumberFormat="1" applyFont="1" applyAlignment="1">
      <alignment vertical="center"/>
      <protection/>
    </xf>
    <xf numFmtId="49" fontId="4" fillId="47" borderId="20" xfId="264" applyNumberFormat="1" applyFont="1" applyFill="1" applyBorder="1" applyAlignment="1">
      <alignment horizontal="left" vertical="center"/>
      <protection/>
    </xf>
    <xf numFmtId="3" fontId="29" fillId="0" borderId="20" xfId="265" applyNumberFormat="1" applyFont="1" applyFill="1" applyBorder="1" applyAlignment="1">
      <alignment horizontal="center" vertical="center"/>
      <protection/>
    </xf>
    <xf numFmtId="49" fontId="0" fillId="0" borderId="0" xfId="264" applyNumberFormat="1" applyFill="1">
      <alignment/>
      <protection/>
    </xf>
    <xf numFmtId="49" fontId="20" fillId="0" borderId="0" xfId="264" applyNumberFormat="1" applyFont="1">
      <alignment/>
      <protection/>
    </xf>
    <xf numFmtId="49" fontId="29" fillId="0" borderId="0" xfId="264" applyNumberFormat="1" applyFont="1" applyFill="1" applyBorder="1" applyAlignment="1">
      <alignment horizontal="center" wrapText="1"/>
      <protection/>
    </xf>
    <xf numFmtId="49" fontId="60" fillId="0" borderId="0" xfId="264" applyNumberFormat="1" applyFont="1" applyBorder="1">
      <alignment/>
      <protection/>
    </xf>
    <xf numFmtId="49" fontId="61" fillId="0" borderId="0" xfId="264" applyNumberFormat="1" applyFont="1">
      <alignment/>
      <protection/>
    </xf>
    <xf numFmtId="49" fontId="1" fillId="0" borderId="0" xfId="264" applyNumberFormat="1" applyFont="1">
      <alignment/>
      <protection/>
    </xf>
    <xf numFmtId="9" fontId="1" fillId="0" borderId="0" xfId="275" applyFont="1" applyAlignment="1">
      <alignment/>
    </xf>
    <xf numFmtId="49" fontId="62" fillId="0" borderId="0" xfId="264" applyNumberFormat="1" applyFont="1" applyBorder="1">
      <alignment/>
      <protection/>
    </xf>
    <xf numFmtId="49" fontId="25" fillId="0" borderId="0" xfId="264" applyNumberFormat="1" applyFont="1" applyBorder="1" applyAlignment="1">
      <alignment horizontal="center" wrapText="1"/>
      <protection/>
    </xf>
    <xf numFmtId="49" fontId="25" fillId="0" borderId="0" xfId="264" applyNumberFormat="1" applyFont="1" applyFill="1" applyBorder="1" applyAlignment="1">
      <alignment horizontal="center" wrapText="1"/>
      <protection/>
    </xf>
    <xf numFmtId="49" fontId="63" fillId="0" borderId="0" xfId="264" applyNumberFormat="1" applyFont="1" applyBorder="1">
      <alignment/>
      <protection/>
    </xf>
    <xf numFmtId="49" fontId="64" fillId="0" borderId="0" xfId="264" applyNumberFormat="1" applyFont="1" applyBorder="1" applyAlignment="1">
      <alignment wrapText="1"/>
      <protection/>
    </xf>
    <xf numFmtId="49" fontId="2" fillId="0" borderId="0" xfId="264" applyNumberFormat="1" applyFont="1" applyBorder="1">
      <alignment/>
      <protection/>
    </xf>
    <xf numFmtId="49" fontId="41" fillId="0" borderId="0" xfId="264" applyNumberFormat="1" applyFont="1" applyBorder="1" applyAlignment="1">
      <alignment horizontal="center" wrapText="1"/>
      <protection/>
    </xf>
    <xf numFmtId="49" fontId="41" fillId="0" borderId="0" xfId="264" applyNumberFormat="1" applyFont="1" applyFill="1" applyBorder="1" applyAlignment="1">
      <alignment horizontal="center" wrapText="1"/>
      <protection/>
    </xf>
    <xf numFmtId="49" fontId="65" fillId="0" borderId="0" xfId="264" applyNumberFormat="1" applyFont="1" applyBorder="1">
      <alignment/>
      <protection/>
    </xf>
    <xf numFmtId="49" fontId="29" fillId="0" borderId="0" xfId="264" applyNumberFormat="1" applyFont="1">
      <alignment/>
      <protection/>
    </xf>
    <xf numFmtId="49" fontId="29" fillId="0" borderId="0" xfId="264" applyNumberFormat="1" applyFont="1" applyFill="1">
      <alignment/>
      <protection/>
    </xf>
    <xf numFmtId="49" fontId="29" fillId="47" borderId="0" xfId="264" applyNumberFormat="1" applyFont="1" applyFill="1">
      <alignment/>
      <protection/>
    </xf>
    <xf numFmtId="0" fontId="25" fillId="0" borderId="0" xfId="264" applyFont="1" applyAlignment="1">
      <alignment horizontal="center"/>
      <protection/>
    </xf>
    <xf numFmtId="49" fontId="25" fillId="47" borderId="0" xfId="264" applyNumberFormat="1" applyFont="1" applyFill="1" applyAlignment="1">
      <alignment horizontal="center"/>
      <protection/>
    </xf>
    <xf numFmtId="0" fontId="67" fillId="0" borderId="0" xfId="264" applyFont="1" applyAlignment="1">
      <alignment/>
      <protection/>
    </xf>
    <xf numFmtId="0" fontId="3" fillId="0" borderId="0" xfId="264" applyFont="1" applyAlignment="1">
      <alignment/>
      <protection/>
    </xf>
    <xf numFmtId="49" fontId="32" fillId="0" borderId="0" xfId="264" applyNumberFormat="1" applyFont="1">
      <alignment/>
      <protection/>
    </xf>
    <xf numFmtId="3" fontId="0" fillId="0" borderId="0" xfId="264" applyNumberFormat="1" applyFont="1" applyFill="1">
      <alignment/>
      <protection/>
    </xf>
    <xf numFmtId="49" fontId="3" fillId="0" borderId="0" xfId="264" applyNumberFormat="1" applyFont="1" applyFill="1" applyAlignment="1">
      <alignment wrapText="1"/>
      <protection/>
    </xf>
    <xf numFmtId="49" fontId="0" fillId="0" borderId="0" xfId="264" applyNumberFormat="1" applyFont="1" applyFill="1" applyBorder="1" applyAlignment="1">
      <alignment/>
      <protection/>
    </xf>
    <xf numFmtId="49" fontId="0" fillId="0" borderId="0" xfId="264" applyNumberFormat="1" applyFont="1" applyFill="1" applyBorder="1">
      <alignment/>
      <protection/>
    </xf>
    <xf numFmtId="49" fontId="19" fillId="0" borderId="22" xfId="264" applyNumberFormat="1" applyFont="1" applyFill="1" applyBorder="1" applyAlignment="1">
      <alignment/>
      <protection/>
    </xf>
    <xf numFmtId="49" fontId="5" fillId="0" borderId="22" xfId="264" applyNumberFormat="1" applyFont="1" applyFill="1" applyBorder="1" applyAlignment="1">
      <alignment horizontal="center"/>
      <protection/>
    </xf>
    <xf numFmtId="49" fontId="0" fillId="0" borderId="0" xfId="264" applyNumberFormat="1" applyFill="1" applyBorder="1">
      <alignment/>
      <protection/>
    </xf>
    <xf numFmtId="49" fontId="6" fillId="0" borderId="20" xfId="264" applyNumberFormat="1" applyFont="1" applyFill="1" applyBorder="1" applyAlignment="1">
      <alignment horizontal="center" vertical="center" wrapText="1"/>
      <protection/>
    </xf>
    <xf numFmtId="49" fontId="19" fillId="0" borderId="20" xfId="264" applyNumberFormat="1" applyFont="1" applyFill="1" applyBorder="1" applyAlignment="1">
      <alignment horizontal="center" vertical="center" wrapText="1"/>
      <protection/>
    </xf>
    <xf numFmtId="3" fontId="30" fillId="3" borderId="20" xfId="264" applyNumberFormat="1" applyFont="1" applyFill="1" applyBorder="1" applyAlignment="1">
      <alignment horizontal="center" vertical="center" wrapText="1"/>
      <protection/>
    </xf>
    <xf numFmtId="3" fontId="70" fillId="3" borderId="20" xfId="264" applyNumberFormat="1" applyFont="1" applyFill="1" applyBorder="1" applyAlignment="1">
      <alignment horizontal="center" vertical="center" wrapText="1"/>
      <protection/>
    </xf>
    <xf numFmtId="3" fontId="6" fillId="44" borderId="20" xfId="264" applyNumberFormat="1" applyFont="1" applyFill="1" applyBorder="1" applyAlignment="1">
      <alignment horizontal="center" vertical="center" wrapText="1"/>
      <protection/>
    </xf>
    <xf numFmtId="49" fontId="7" fillId="0" borderId="20" xfId="264" applyNumberFormat="1" applyFont="1" applyFill="1" applyBorder="1" applyAlignment="1">
      <alignment horizontal="center"/>
      <protection/>
    </xf>
    <xf numFmtId="49" fontId="7" fillId="0" borderId="20" xfId="264" applyNumberFormat="1" applyFont="1" applyFill="1" applyBorder="1" applyAlignment="1">
      <alignment horizontal="left"/>
      <protection/>
    </xf>
    <xf numFmtId="3" fontId="5" fillId="44" borderId="20" xfId="264" applyNumberFormat="1" applyFont="1" applyFill="1" applyBorder="1" applyAlignment="1">
      <alignment horizontal="center" vertical="center" wrapText="1"/>
      <protection/>
    </xf>
    <xf numFmtId="3" fontId="5" fillId="0" borderId="20" xfId="264" applyNumberFormat="1" applyFont="1" applyFill="1" applyBorder="1" applyAlignment="1">
      <alignment horizontal="center" vertical="center" wrapText="1"/>
      <protection/>
    </xf>
    <xf numFmtId="9" fontId="0" fillId="0" borderId="0" xfId="275" applyFont="1" applyFill="1" applyAlignment="1">
      <alignment/>
    </xf>
    <xf numFmtId="49" fontId="7" fillId="44" borderId="23" xfId="264" applyNumberFormat="1" applyFont="1" applyFill="1" applyBorder="1" applyAlignment="1">
      <alignment horizontal="center"/>
      <protection/>
    </xf>
    <xf numFmtId="49" fontId="7" fillId="44" borderId="20" xfId="264" applyNumberFormat="1" applyFont="1" applyFill="1" applyBorder="1" applyAlignment="1">
      <alignment horizontal="left"/>
      <protection/>
    </xf>
    <xf numFmtId="49" fontId="4" fillId="0" borderId="23" xfId="264" applyNumberFormat="1" applyFont="1" applyFill="1" applyBorder="1" applyAlignment="1">
      <alignment horizontal="center"/>
      <protection/>
    </xf>
    <xf numFmtId="49" fontId="4" fillId="47" borderId="20" xfId="264" applyNumberFormat="1" applyFont="1" applyFill="1" applyBorder="1" applyAlignment="1">
      <alignment horizontal="left"/>
      <protection/>
    </xf>
    <xf numFmtId="3" fontId="5" fillId="47" borderId="20" xfId="264" applyNumberFormat="1" applyFont="1" applyFill="1" applyBorder="1" applyAlignment="1">
      <alignment horizontal="center" vertical="center" wrapText="1"/>
      <protection/>
    </xf>
    <xf numFmtId="49" fontId="5" fillId="47" borderId="20" xfId="264" applyNumberFormat="1" applyFont="1" applyFill="1" applyBorder="1" applyAlignment="1">
      <alignment horizontal="left"/>
      <protection/>
    </xf>
    <xf numFmtId="49" fontId="6" fillId="0" borderId="19" xfId="264" applyNumberFormat="1" applyFont="1" applyFill="1" applyBorder="1" applyAlignment="1">
      <alignment horizontal="center"/>
      <protection/>
    </xf>
    <xf numFmtId="49" fontId="6" fillId="0" borderId="19" xfId="264" applyNumberFormat="1" applyFont="1" applyFill="1" applyBorder="1" applyAlignment="1">
      <alignment horizontal="left"/>
      <protection/>
    </xf>
    <xf numFmtId="3" fontId="5" fillId="0" borderId="19" xfId="264" applyNumberFormat="1" applyFont="1" applyFill="1" applyBorder="1" applyAlignment="1">
      <alignment horizontal="center" vertical="center" wrapText="1"/>
      <protection/>
    </xf>
    <xf numFmtId="49" fontId="15" fillId="0" borderId="0" xfId="264" applyNumberFormat="1" applyFont="1" applyFill="1" applyBorder="1" applyAlignment="1">
      <alignment vertical="center" wrapText="1"/>
      <protection/>
    </xf>
    <xf numFmtId="49" fontId="71" fillId="0" borderId="0" xfId="264" applyNumberFormat="1" applyFont="1" applyFill="1">
      <alignment/>
      <protection/>
    </xf>
    <xf numFmtId="49" fontId="4" fillId="0" borderId="0" xfId="264" applyNumberFormat="1" applyFont="1" applyFill="1">
      <alignment/>
      <protection/>
    </xf>
    <xf numFmtId="49" fontId="0" fillId="47" borderId="0" xfId="264" applyNumberFormat="1" applyFont="1" applyFill="1">
      <alignment/>
      <protection/>
    </xf>
    <xf numFmtId="49" fontId="3" fillId="47" borderId="0" xfId="264" applyNumberFormat="1" applyFont="1" applyFill="1" applyAlignment="1">
      <alignment horizontal="center"/>
      <protection/>
    </xf>
    <xf numFmtId="49" fontId="22" fillId="0" borderId="0" xfId="264" applyNumberFormat="1" applyFont="1" applyFill="1">
      <alignment/>
      <protection/>
    </xf>
    <xf numFmtId="49" fontId="3" fillId="0" borderId="0" xfId="264" applyNumberFormat="1" applyFont="1" applyFill="1">
      <alignment/>
      <protection/>
    </xf>
    <xf numFmtId="49" fontId="13" fillId="0" borderId="0" xfId="264" applyNumberFormat="1" applyFont="1" applyFill="1" applyAlignment="1">
      <alignment/>
      <protection/>
    </xf>
    <xf numFmtId="49" fontId="13" fillId="0" borderId="0" xfId="264" applyNumberFormat="1" applyFont="1" applyFill="1" applyAlignment="1">
      <alignment wrapText="1"/>
      <protection/>
    </xf>
    <xf numFmtId="49" fontId="13" fillId="0" borderId="0" xfId="264" applyNumberFormat="1" applyFont="1" applyFill="1" applyAlignment="1">
      <alignment horizontal="left" wrapText="1"/>
      <protection/>
    </xf>
    <xf numFmtId="49" fontId="0" fillId="0" borderId="0" xfId="264" applyNumberFormat="1" applyAlignment="1">
      <alignment horizontal="left"/>
      <protection/>
    </xf>
    <xf numFmtId="49" fontId="0" fillId="0" borderId="0" xfId="264" applyNumberFormat="1" applyFont="1" applyBorder="1" applyAlignment="1">
      <alignment horizontal="left"/>
      <protection/>
    </xf>
    <xf numFmtId="49" fontId="13" fillId="0" borderId="20" xfId="264" applyNumberFormat="1" applyFont="1" applyBorder="1" applyAlignment="1">
      <alignment horizontal="center"/>
      <protection/>
    </xf>
    <xf numFmtId="3" fontId="4" fillId="4" borderId="20" xfId="265" applyNumberFormat="1" applyFont="1" applyFill="1" applyBorder="1" applyAlignment="1">
      <alignment horizontal="center" vertical="center"/>
      <protection/>
    </xf>
    <xf numFmtId="3" fontId="33" fillId="47" borderId="20" xfId="264" applyNumberFormat="1" applyFont="1" applyFill="1" applyBorder="1" applyAlignment="1">
      <alignment horizontal="center" vertical="center"/>
      <protection/>
    </xf>
    <xf numFmtId="3" fontId="17" fillId="3" borderId="20" xfId="264" applyNumberFormat="1" applyFont="1" applyFill="1" applyBorder="1" applyAlignment="1">
      <alignment horizontal="center" vertical="center"/>
      <protection/>
    </xf>
    <xf numFmtId="3" fontId="35" fillId="3" borderId="20" xfId="264" applyNumberFormat="1" applyFont="1" applyFill="1" applyBorder="1" applyAlignment="1">
      <alignment horizontal="center" vertical="center"/>
      <protection/>
    </xf>
    <xf numFmtId="3" fontId="7" fillId="44" borderId="20" xfId="264" applyNumberFormat="1" applyFont="1" applyFill="1" applyBorder="1" applyAlignment="1">
      <alignment horizontal="center" vertical="center"/>
      <protection/>
    </xf>
    <xf numFmtId="3" fontId="7" fillId="44" borderId="20" xfId="264" applyNumberFormat="1" applyFont="1" applyFill="1" applyBorder="1" applyAlignment="1">
      <alignment horizontal="center" vertical="center"/>
      <protection/>
    </xf>
    <xf numFmtId="3" fontId="7" fillId="4" borderId="20" xfId="265" applyNumberFormat="1" applyFont="1" applyFill="1" applyBorder="1" applyAlignment="1">
      <alignment horizontal="center" vertical="center"/>
      <protection/>
    </xf>
    <xf numFmtId="49" fontId="7" fillId="0" borderId="20" xfId="264" applyNumberFormat="1" applyFont="1" applyBorder="1" applyAlignment="1">
      <alignment horizontal="center" vertical="center"/>
      <protection/>
    </xf>
    <xf numFmtId="49" fontId="7" fillId="47" borderId="20" xfId="264" applyNumberFormat="1" applyFont="1" applyFill="1" applyBorder="1" applyAlignment="1">
      <alignment horizontal="left" vertical="center"/>
      <protection/>
    </xf>
    <xf numFmtId="3" fontId="4" fillId="47" borderId="20" xfId="264" applyNumberFormat="1" applyFont="1" applyFill="1" applyBorder="1" applyAlignment="1">
      <alignment horizontal="center" vertical="center"/>
      <protection/>
    </xf>
    <xf numFmtId="3" fontId="4" fillId="44" borderId="20" xfId="264" applyNumberFormat="1" applyFont="1" applyFill="1" applyBorder="1" applyAlignment="1">
      <alignment horizontal="center" vertical="center"/>
      <protection/>
    </xf>
    <xf numFmtId="49" fontId="4" fillId="0" borderId="23" xfId="264" applyNumberFormat="1" applyFont="1" applyBorder="1" applyAlignment="1">
      <alignment horizontal="center" vertical="center"/>
      <protection/>
    </xf>
    <xf numFmtId="49" fontId="0" fillId="0" borderId="0" xfId="264" applyNumberFormat="1" applyFont="1" applyAlignment="1">
      <alignment vertical="center"/>
      <protection/>
    </xf>
    <xf numFmtId="3" fontId="4" fillId="0" borderId="20" xfId="264" applyNumberFormat="1" applyFont="1" applyFill="1" applyBorder="1" applyAlignment="1">
      <alignment horizontal="center" vertical="center"/>
      <protection/>
    </xf>
    <xf numFmtId="3" fontId="4" fillId="47" borderId="20" xfId="265" applyNumberFormat="1" applyFont="1" applyFill="1" applyBorder="1" applyAlignment="1">
      <alignment horizontal="center" vertical="center"/>
      <protection/>
    </xf>
    <xf numFmtId="49" fontId="4" fillId="47" borderId="23" xfId="264" applyNumberFormat="1" applyFont="1" applyFill="1" applyBorder="1" applyAlignment="1">
      <alignment horizontal="center" vertical="center"/>
      <protection/>
    </xf>
    <xf numFmtId="9" fontId="20" fillId="0" borderId="0" xfId="275" applyFont="1" applyAlignment="1">
      <alignment vertical="center"/>
    </xf>
    <xf numFmtId="49" fontId="4" fillId="0" borderId="0" xfId="264" applyNumberFormat="1" applyFont="1" applyBorder="1" applyAlignment="1">
      <alignment horizontal="center"/>
      <protection/>
    </xf>
    <xf numFmtId="49" fontId="4" fillId="47" borderId="0" xfId="264" applyNumberFormat="1" applyFont="1" applyFill="1" applyBorder="1" applyAlignment="1">
      <alignment horizontal="left"/>
      <protection/>
    </xf>
    <xf numFmtId="49" fontId="0" fillId="0" borderId="0" xfId="264" applyNumberFormat="1" applyFont="1" applyFill="1" applyBorder="1" applyAlignment="1">
      <alignment horizontal="center"/>
      <protection/>
    </xf>
    <xf numFmtId="3" fontId="4" fillId="47" borderId="19" xfId="265" applyNumberFormat="1" applyFont="1" applyFill="1" applyBorder="1" applyAlignment="1">
      <alignment horizontal="center" vertical="center"/>
      <protection/>
    </xf>
    <xf numFmtId="9" fontId="0" fillId="0" borderId="0" xfId="275" applyFont="1" applyAlignment="1">
      <alignment/>
    </xf>
    <xf numFmtId="49" fontId="29" fillId="0" borderId="0" xfId="264" applyNumberFormat="1" applyFont="1" applyBorder="1" applyAlignment="1">
      <alignment wrapText="1"/>
      <protection/>
    </xf>
    <xf numFmtId="3" fontId="4" fillId="47" borderId="0" xfId="265" applyNumberFormat="1" applyFont="1" applyFill="1" applyBorder="1" applyAlignment="1">
      <alignment horizontal="center" vertical="center"/>
      <protection/>
    </xf>
    <xf numFmtId="49" fontId="29" fillId="0" borderId="0" xfId="264" applyNumberFormat="1" applyFont="1" applyAlignment="1">
      <alignment wrapText="1"/>
      <protection/>
    </xf>
    <xf numFmtId="49" fontId="38" fillId="0" borderId="0" xfId="264" applyNumberFormat="1" applyFont="1">
      <alignment/>
      <protection/>
    </xf>
    <xf numFmtId="49" fontId="38" fillId="0" borderId="0" xfId="264" applyNumberFormat="1" applyFont="1" applyAlignment="1">
      <alignment wrapText="1"/>
      <protection/>
    </xf>
    <xf numFmtId="49" fontId="3" fillId="47" borderId="0" xfId="264" applyNumberFormat="1" applyFont="1" applyFill="1" applyAlignment="1">
      <alignment/>
      <protection/>
    </xf>
    <xf numFmtId="49" fontId="73" fillId="0" borderId="0" xfId="264" applyNumberFormat="1" applyFont="1">
      <alignment/>
      <protection/>
    </xf>
    <xf numFmtId="49" fontId="13" fillId="0" borderId="0" xfId="264" applyNumberFormat="1" applyFont="1" applyBorder="1" applyAlignment="1">
      <alignment wrapText="1"/>
      <protection/>
    </xf>
    <xf numFmtId="49" fontId="0" fillId="0" borderId="0" xfId="266" applyNumberFormat="1" applyFont="1" applyAlignment="1">
      <alignment horizontal="left"/>
      <protection/>
    </xf>
    <xf numFmtId="49" fontId="14" fillId="0" borderId="0" xfId="266" applyNumberFormat="1" applyFont="1" applyAlignment="1">
      <alignment wrapText="1"/>
      <protection/>
    </xf>
    <xf numFmtId="49" fontId="3" fillId="47" borderId="0" xfId="266" applyNumberFormat="1" applyFont="1" applyFill="1" applyBorder="1" applyAlignment="1">
      <alignment horizontal="left"/>
      <protection/>
    </xf>
    <xf numFmtId="49" fontId="0" fillId="47" borderId="0" xfId="266" applyNumberFormat="1" applyFont="1" applyFill="1" applyBorder="1" applyAlignment="1">
      <alignment horizontal="left"/>
      <protection/>
    </xf>
    <xf numFmtId="49" fontId="27" fillId="0" borderId="0" xfId="266" applyNumberFormat="1" applyFont="1">
      <alignment/>
      <protection/>
    </xf>
    <xf numFmtId="49" fontId="0" fillId="47" borderId="0" xfId="266" applyNumberFormat="1" applyFont="1" applyFill="1" applyBorder="1" applyAlignment="1">
      <alignment/>
      <protection/>
    </xf>
    <xf numFmtId="49" fontId="3" fillId="0" borderId="0" xfId="266" applyNumberFormat="1" applyFont="1" applyBorder="1" applyAlignment="1">
      <alignment horizontal="left"/>
      <protection/>
    </xf>
    <xf numFmtId="49" fontId="0" fillId="0" borderId="0" xfId="266" applyNumberFormat="1" applyFont="1" applyBorder="1" applyAlignment="1">
      <alignment horizontal="left"/>
      <protection/>
    </xf>
    <xf numFmtId="49" fontId="0" fillId="0" borderId="0" xfId="266" applyNumberFormat="1" applyFont="1" applyBorder="1" applyAlignment="1">
      <alignment/>
      <protection/>
    </xf>
    <xf numFmtId="49" fontId="18" fillId="0" borderId="22" xfId="266" applyNumberFormat="1" applyFont="1" applyBorder="1" applyAlignment="1">
      <alignment horizontal="left"/>
      <protection/>
    </xf>
    <xf numFmtId="49" fontId="3" fillId="0" borderId="22" xfId="266" applyNumberFormat="1" applyFont="1" applyBorder="1" applyAlignment="1">
      <alignment horizontal="left"/>
      <protection/>
    </xf>
    <xf numFmtId="49" fontId="27" fillId="0" borderId="0" xfId="266" applyNumberFormat="1" applyFont="1" applyFill="1">
      <alignment/>
      <protection/>
    </xf>
    <xf numFmtId="49" fontId="27" fillId="0" borderId="0" xfId="266" applyNumberFormat="1" applyFont="1" applyAlignment="1">
      <alignment vertical="center"/>
      <protection/>
    </xf>
    <xf numFmtId="49" fontId="6" fillId="47" borderId="20" xfId="266" applyNumberFormat="1" applyFont="1" applyFill="1" applyBorder="1" applyAlignment="1">
      <alignment horizontal="left" vertical="center"/>
      <protection/>
    </xf>
    <xf numFmtId="49" fontId="1" fillId="0" borderId="0" xfId="266" applyNumberFormat="1" applyFont="1">
      <alignment/>
      <protection/>
    </xf>
    <xf numFmtId="49" fontId="29" fillId="0" borderId="0" xfId="266" applyNumberFormat="1" applyFont="1" applyBorder="1" applyAlignment="1">
      <alignment/>
      <protection/>
    </xf>
    <xf numFmtId="49" fontId="80" fillId="0" borderId="0" xfId="266" applyNumberFormat="1" applyFont="1">
      <alignment/>
      <protection/>
    </xf>
    <xf numFmtId="49" fontId="25" fillId="0" borderId="0" xfId="266" applyNumberFormat="1" applyFont="1" applyBorder="1" applyAlignment="1">
      <alignment/>
      <protection/>
    </xf>
    <xf numFmtId="49" fontId="5" fillId="0" borderId="0" xfId="266" applyNumberFormat="1" applyFont="1">
      <alignment/>
      <protection/>
    </xf>
    <xf numFmtId="49" fontId="29" fillId="0" borderId="0" xfId="266" applyNumberFormat="1" applyFont="1" applyAlignment="1">
      <alignment horizontal="center"/>
      <protection/>
    </xf>
    <xf numFmtId="49" fontId="29" fillId="0" borderId="0" xfId="266" applyNumberFormat="1" applyFont="1">
      <alignment/>
      <protection/>
    </xf>
    <xf numFmtId="49" fontId="80" fillId="0" borderId="0" xfId="266" applyNumberFormat="1" applyFont="1" applyAlignment="1">
      <alignment horizontal="center"/>
      <protection/>
    </xf>
    <xf numFmtId="49" fontId="13" fillId="0" borderId="0" xfId="266" applyNumberFormat="1" applyFont="1" applyBorder="1" applyAlignment="1">
      <alignment wrapText="1"/>
      <protection/>
    </xf>
    <xf numFmtId="49" fontId="82" fillId="0" borderId="0" xfId="266" applyNumberFormat="1" applyFont="1">
      <alignment/>
      <protection/>
    </xf>
    <xf numFmtId="9" fontId="27" fillId="0" borderId="0" xfId="275" applyFont="1" applyAlignment="1">
      <alignment/>
    </xf>
    <xf numFmtId="3" fontId="0" fillId="47" borderId="0" xfId="266" applyNumberFormat="1" applyFont="1" applyFill="1" applyBorder="1" applyAlignment="1">
      <alignment/>
      <protection/>
    </xf>
    <xf numFmtId="0" fontId="27" fillId="0" borderId="0" xfId="266">
      <alignment/>
      <protection/>
    </xf>
    <xf numFmtId="0" fontId="0" fillId="0" borderId="0" xfId="266" applyFont="1" applyAlignment="1">
      <alignment horizontal="left"/>
      <protection/>
    </xf>
    <xf numFmtId="0" fontId="0" fillId="0" borderId="0" xfId="266" applyFont="1" applyBorder="1" applyAlignment="1">
      <alignment/>
      <protection/>
    </xf>
    <xf numFmtId="0" fontId="0" fillId="0" borderId="0" xfId="266" applyFont="1" applyBorder="1" applyAlignment="1">
      <alignment horizontal="left"/>
      <protection/>
    </xf>
    <xf numFmtId="0" fontId="27" fillId="0" borderId="0" xfId="266" applyFont="1">
      <alignment/>
      <protection/>
    </xf>
    <xf numFmtId="0" fontId="6" fillId="0" borderId="20" xfId="266" applyFont="1" applyBorder="1" applyAlignment="1">
      <alignment horizontal="center" vertical="center"/>
      <protection/>
    </xf>
    <xf numFmtId="0" fontId="6" fillId="47" borderId="20" xfId="266" applyFont="1" applyFill="1" applyBorder="1" applyAlignment="1">
      <alignment horizontal="left" vertical="center"/>
      <protection/>
    </xf>
    <xf numFmtId="9" fontId="27" fillId="0" borderId="0" xfId="275" applyFont="1" applyAlignment="1">
      <alignment vertical="center"/>
    </xf>
    <xf numFmtId="0" fontId="5" fillId="0" borderId="23" xfId="266" applyFont="1" applyBorder="1" applyAlignment="1">
      <alignment horizontal="center" vertical="center"/>
      <protection/>
    </xf>
    <xf numFmtId="0" fontId="27" fillId="0" borderId="0" xfId="266" applyFont="1" applyAlignment="1">
      <alignment vertical="center"/>
      <protection/>
    </xf>
    <xf numFmtId="0" fontId="1" fillId="0" borderId="0" xfId="266" applyFont="1">
      <alignment/>
      <protection/>
    </xf>
    <xf numFmtId="0" fontId="25" fillId="0" borderId="0" xfId="266" applyFont="1" applyBorder="1" applyAlignment="1">
      <alignment horizontal="center" wrapText="1"/>
      <protection/>
    </xf>
    <xf numFmtId="0" fontId="29" fillId="0" borderId="0" xfId="266" applyFont="1" applyBorder="1" applyAlignment="1">
      <alignment wrapText="1"/>
      <protection/>
    </xf>
    <xf numFmtId="0" fontId="25" fillId="0" borderId="0" xfId="266" applyNumberFormat="1" applyFont="1" applyBorder="1" applyAlignment="1">
      <alignment/>
      <protection/>
    </xf>
    <xf numFmtId="0" fontId="80" fillId="0" borderId="0" xfId="266" applyFont="1">
      <alignment/>
      <protection/>
    </xf>
    <xf numFmtId="0" fontId="25" fillId="0" borderId="0" xfId="266" applyNumberFormat="1" applyFont="1" applyBorder="1" applyAlignment="1">
      <alignment horizontal="center"/>
      <protection/>
    </xf>
    <xf numFmtId="0" fontId="5" fillId="0" borderId="0" xfId="266" applyFont="1">
      <alignment/>
      <protection/>
    </xf>
    <xf numFmtId="0" fontId="29" fillId="0" borderId="0" xfId="266" applyFont="1">
      <alignment/>
      <protection/>
    </xf>
    <xf numFmtId="0" fontId="25" fillId="0" borderId="0" xfId="264" applyFont="1" applyAlignment="1">
      <alignment/>
      <protection/>
    </xf>
    <xf numFmtId="49" fontId="19" fillId="0" borderId="0" xfId="266" applyNumberFormat="1" applyFont="1">
      <alignment/>
      <protection/>
    </xf>
    <xf numFmtId="49" fontId="4" fillId="47" borderId="0" xfId="266" applyNumberFormat="1" applyFont="1" applyFill="1" applyBorder="1" applyAlignment="1">
      <alignment horizontal="left"/>
      <protection/>
    </xf>
    <xf numFmtId="49" fontId="4" fillId="0" borderId="0" xfId="266" applyNumberFormat="1" applyFont="1" applyBorder="1" applyAlignment="1">
      <alignment horizontal="left"/>
      <protection/>
    </xf>
    <xf numFmtId="49" fontId="0" fillId="0" borderId="22" xfId="266" applyNumberFormat="1" applyFont="1" applyBorder="1" applyAlignment="1">
      <alignment/>
      <protection/>
    </xf>
    <xf numFmtId="49" fontId="6" fillId="0" borderId="20" xfId="266" applyNumberFormat="1" applyFont="1" applyFill="1" applyBorder="1" applyAlignment="1">
      <alignment horizontal="center" vertical="center" wrapText="1"/>
      <protection/>
    </xf>
    <xf numFmtId="49" fontId="5" fillId="0" borderId="24" xfId="266" applyNumberFormat="1" applyFont="1" applyFill="1" applyBorder="1">
      <alignment/>
      <protection/>
    </xf>
    <xf numFmtId="49" fontId="5" fillId="0" borderId="0" xfId="266" applyNumberFormat="1" applyFont="1" applyFill="1">
      <alignment/>
      <protection/>
    </xf>
    <xf numFmtId="49" fontId="24" fillId="0" borderId="0" xfId="266" applyNumberFormat="1" applyFont="1" applyFill="1">
      <alignment/>
      <protection/>
    </xf>
    <xf numFmtId="49" fontId="6" fillId="0" borderId="25" xfId="266" applyNumberFormat="1" applyFont="1" applyFill="1" applyBorder="1" applyAlignment="1">
      <alignment horizontal="center" vertical="center" wrapText="1"/>
      <protection/>
    </xf>
    <xf numFmtId="49" fontId="19" fillId="0" borderId="20" xfId="266" applyNumberFormat="1" applyFont="1" applyFill="1" applyBorder="1" applyAlignment="1">
      <alignment horizontal="center" vertical="center"/>
      <protection/>
    </xf>
    <xf numFmtId="49" fontId="19" fillId="0" borderId="20" xfId="266" applyNumberFormat="1" applyFont="1" applyBorder="1" applyAlignment="1">
      <alignment horizontal="center" vertical="center"/>
      <protection/>
    </xf>
    <xf numFmtId="49" fontId="5" fillId="0" borderId="0" xfId="266" applyNumberFormat="1" applyFont="1" applyAlignment="1">
      <alignment vertical="center"/>
      <protection/>
    </xf>
    <xf numFmtId="3" fontId="30" fillId="3" borderId="20" xfId="266" applyNumberFormat="1" applyFont="1" applyFill="1" applyBorder="1" applyAlignment="1">
      <alignment horizontal="center" vertical="center"/>
      <protection/>
    </xf>
    <xf numFmtId="3" fontId="70" fillId="3" borderId="20" xfId="266" applyNumberFormat="1" applyFont="1" applyFill="1" applyBorder="1" applyAlignment="1">
      <alignment horizontal="center" vertical="center"/>
      <protection/>
    </xf>
    <xf numFmtId="3" fontId="30" fillId="4" borderId="20" xfId="266" applyNumberFormat="1" applyFont="1" applyFill="1" applyBorder="1" applyAlignment="1">
      <alignment horizontal="center" vertical="center"/>
      <protection/>
    </xf>
    <xf numFmtId="3" fontId="6" fillId="44" borderId="20" xfId="266" applyNumberFormat="1" applyFont="1" applyFill="1" applyBorder="1" applyAlignment="1">
      <alignment horizontal="center" vertical="center"/>
      <protection/>
    </xf>
    <xf numFmtId="49" fontId="6" fillId="0" borderId="20" xfId="266" applyNumberFormat="1" applyFont="1" applyBorder="1" applyAlignment="1">
      <alignment horizontal="center" vertical="center"/>
      <protection/>
    </xf>
    <xf numFmtId="3" fontId="5" fillId="47" borderId="20" xfId="266" applyNumberFormat="1" applyFont="1" applyFill="1" applyBorder="1" applyAlignment="1">
      <alignment horizontal="center" vertical="center"/>
      <protection/>
    </xf>
    <xf numFmtId="49" fontId="6" fillId="0" borderId="23" xfId="266" applyNumberFormat="1" applyFont="1" applyBorder="1" applyAlignment="1">
      <alignment horizontal="center" vertical="center"/>
      <protection/>
    </xf>
    <xf numFmtId="49" fontId="5" fillId="0" borderId="23" xfId="266" applyNumberFormat="1" applyFont="1" applyBorder="1" applyAlignment="1">
      <alignment horizontal="center" vertical="center"/>
      <protection/>
    </xf>
    <xf numFmtId="3" fontId="5" fillId="0" borderId="20" xfId="266" applyNumberFormat="1" applyFont="1" applyBorder="1" applyAlignment="1">
      <alignment horizontal="center" vertical="center"/>
      <protection/>
    </xf>
    <xf numFmtId="49" fontId="88" fillId="0" borderId="0" xfId="266" applyNumberFormat="1" applyFont="1">
      <alignment/>
      <protection/>
    </xf>
    <xf numFmtId="49" fontId="27" fillId="0" borderId="0" xfId="266" applyNumberFormat="1">
      <alignment/>
      <protection/>
    </xf>
    <xf numFmtId="49" fontId="29" fillId="0" borderId="0" xfId="266" applyNumberFormat="1" applyFont="1" applyBorder="1" applyAlignment="1">
      <alignment wrapText="1"/>
      <protection/>
    </xf>
    <xf numFmtId="49" fontId="21" fillId="0" borderId="0" xfId="266" applyNumberFormat="1" applyFont="1">
      <alignment/>
      <protection/>
    </xf>
    <xf numFmtId="49" fontId="32" fillId="0" borderId="0" xfId="266" applyNumberFormat="1" applyFont="1">
      <alignment/>
      <protection/>
    </xf>
    <xf numFmtId="49" fontId="32" fillId="0" borderId="0" xfId="266" applyNumberFormat="1" applyFont="1" applyAlignment="1">
      <alignment horizontal="center"/>
      <protection/>
    </xf>
    <xf numFmtId="0" fontId="4" fillId="0" borderId="0" xfId="266" applyNumberFormat="1" applyFont="1" applyAlignment="1">
      <alignment horizontal="left"/>
      <protection/>
    </xf>
    <xf numFmtId="0" fontId="5" fillId="0" borderId="0" xfId="266" applyFont="1" applyAlignment="1">
      <alignment/>
      <protection/>
    </xf>
    <xf numFmtId="3" fontId="5" fillId="0" borderId="0" xfId="266" applyNumberFormat="1" applyFont="1">
      <alignment/>
      <protection/>
    </xf>
    <xf numFmtId="0" fontId="7" fillId="0" borderId="0" xfId="266" applyFont="1" applyBorder="1" applyAlignment="1">
      <alignment/>
      <protection/>
    </xf>
    <xf numFmtId="0" fontId="27" fillId="0" borderId="24" xfId="266" applyFont="1" applyBorder="1">
      <alignment/>
      <protection/>
    </xf>
    <xf numFmtId="0" fontId="27" fillId="0" borderId="0" xfId="266" applyFont="1" applyBorder="1">
      <alignment/>
      <protection/>
    </xf>
    <xf numFmtId="0" fontId="12" fillId="0" borderId="20" xfId="266" applyFont="1" applyBorder="1" applyAlignment="1">
      <alignment horizontal="center" vertical="center" wrapText="1"/>
      <protection/>
    </xf>
    <xf numFmtId="0" fontId="19" fillId="0" borderId="23" xfId="266" applyFont="1" applyFill="1" applyBorder="1" applyAlignment="1">
      <alignment horizontal="center" vertical="center"/>
      <protection/>
    </xf>
    <xf numFmtId="0" fontId="19" fillId="0" borderId="20" xfId="266" applyFont="1" applyFill="1" applyBorder="1" applyAlignment="1">
      <alignment horizontal="center" vertical="center"/>
      <protection/>
    </xf>
    <xf numFmtId="0" fontId="19" fillId="0" borderId="20" xfId="266" applyFont="1" applyBorder="1" applyAlignment="1">
      <alignment horizontal="center" vertical="center"/>
      <protection/>
    </xf>
    <xf numFmtId="3" fontId="20" fillId="3" borderId="20" xfId="266" applyNumberFormat="1" applyFont="1" applyFill="1" applyBorder="1" applyAlignment="1">
      <alignment horizontal="center" vertical="center"/>
      <protection/>
    </xf>
    <xf numFmtId="3" fontId="36" fillId="3" borderId="20" xfId="266" applyNumberFormat="1" applyFont="1" applyFill="1" applyBorder="1" applyAlignment="1">
      <alignment horizontal="center" vertical="center"/>
      <protection/>
    </xf>
    <xf numFmtId="3" fontId="3" fillId="44" borderId="23" xfId="266" applyNumberFormat="1" applyFont="1" applyFill="1" applyBorder="1" applyAlignment="1">
      <alignment horizontal="center" vertical="center"/>
      <protection/>
    </xf>
    <xf numFmtId="3" fontId="0" fillId="48" borderId="23" xfId="266" applyNumberFormat="1" applyFont="1" applyFill="1" applyBorder="1" applyAlignment="1">
      <alignment horizontal="center" vertical="center"/>
      <protection/>
    </xf>
    <xf numFmtId="3" fontId="0" fillId="0" borderId="20" xfId="266" applyNumberFormat="1" applyFont="1" applyBorder="1" applyAlignment="1">
      <alignment horizontal="center" vertical="center"/>
      <protection/>
    </xf>
    <xf numFmtId="3" fontId="0" fillId="0" borderId="26" xfId="266" applyNumberFormat="1" applyFont="1" applyBorder="1" applyAlignment="1">
      <alignment horizontal="center" vertical="center"/>
      <protection/>
    </xf>
    <xf numFmtId="0" fontId="6" fillId="0" borderId="23" xfId="266" applyFont="1" applyBorder="1" applyAlignment="1">
      <alignment horizontal="center" vertical="center"/>
      <protection/>
    </xf>
    <xf numFmtId="3" fontId="0" fillId="44" borderId="23" xfId="266" applyNumberFormat="1" applyFont="1" applyFill="1" applyBorder="1" applyAlignment="1">
      <alignment horizontal="center" vertical="center"/>
      <protection/>
    </xf>
    <xf numFmtId="3" fontId="0" fillId="47" borderId="20" xfId="266" applyNumberFormat="1" applyFont="1" applyFill="1" applyBorder="1" applyAlignment="1">
      <alignment horizontal="center" vertical="center"/>
      <protection/>
    </xf>
    <xf numFmtId="3" fontId="0" fillId="47" borderId="26" xfId="266" applyNumberFormat="1" applyFont="1" applyFill="1" applyBorder="1" applyAlignment="1">
      <alignment horizontal="center" vertical="center"/>
      <protection/>
    </xf>
    <xf numFmtId="0" fontId="29" fillId="0" borderId="0" xfId="266" applyNumberFormat="1" applyFont="1" applyBorder="1" applyAlignment="1">
      <alignment/>
      <protection/>
    </xf>
    <xf numFmtId="0" fontId="89" fillId="0" borderId="0" xfId="266" applyFont="1">
      <alignment/>
      <protection/>
    </xf>
    <xf numFmtId="0" fontId="16" fillId="0" borderId="0" xfId="266" applyFont="1">
      <alignment/>
      <protection/>
    </xf>
    <xf numFmtId="0" fontId="28" fillId="0" borderId="0" xfId="266" applyFont="1">
      <alignment/>
      <protection/>
    </xf>
    <xf numFmtId="0" fontId="13" fillId="0" borderId="0" xfId="266" applyFont="1">
      <alignment/>
      <protection/>
    </xf>
    <xf numFmtId="49" fontId="13" fillId="0" borderId="0" xfId="266" applyNumberFormat="1" applyFont="1">
      <alignment/>
      <protection/>
    </xf>
    <xf numFmtId="0" fontId="82" fillId="0" borderId="0" xfId="266" applyFont="1">
      <alignment/>
      <protection/>
    </xf>
    <xf numFmtId="49" fontId="18" fillId="0" borderId="0" xfId="266" applyNumberFormat="1" applyFont="1" applyBorder="1" applyAlignment="1">
      <alignment/>
      <protection/>
    </xf>
    <xf numFmtId="49" fontId="27" fillId="0" borderId="0" xfId="266" applyNumberFormat="1" applyFont="1" applyAlignment="1">
      <alignment horizontal="center"/>
      <protection/>
    </xf>
    <xf numFmtId="3" fontId="19" fillId="47" borderId="22" xfId="266" applyNumberFormat="1" applyFont="1" applyFill="1" applyBorder="1" applyAlignment="1">
      <alignment horizontal="center"/>
      <protection/>
    </xf>
    <xf numFmtId="49" fontId="5" fillId="0" borderId="22" xfId="266" applyNumberFormat="1" applyFont="1" applyBorder="1" applyAlignment="1">
      <alignment/>
      <protection/>
    </xf>
    <xf numFmtId="49" fontId="27" fillId="0" borderId="0" xfId="266" applyNumberFormat="1" applyFill="1">
      <alignment/>
      <protection/>
    </xf>
    <xf numFmtId="49" fontId="27" fillId="0" borderId="0" xfId="266" applyNumberFormat="1" applyFill="1" applyAlignment="1">
      <alignment vertical="center" wrapText="1"/>
      <protection/>
    </xf>
    <xf numFmtId="49" fontId="27" fillId="0" borderId="0" xfId="266" applyNumberFormat="1" applyAlignment="1">
      <alignment vertical="center"/>
      <protection/>
    </xf>
    <xf numFmtId="3" fontId="5" fillId="44" borderId="20" xfId="266" applyNumberFormat="1" applyFont="1" applyFill="1" applyBorder="1" applyAlignment="1">
      <alignment horizontal="center" vertical="center"/>
      <protection/>
    </xf>
    <xf numFmtId="3" fontId="27" fillId="0" borderId="20" xfId="266" applyNumberFormat="1" applyFont="1" applyBorder="1" applyAlignment="1">
      <alignment horizontal="center" vertical="center"/>
      <protection/>
    </xf>
    <xf numFmtId="0" fontId="5" fillId="0" borderId="20" xfId="266" applyFont="1" applyBorder="1" applyAlignment="1">
      <alignment horizontal="center" vertical="center"/>
      <protection/>
    </xf>
    <xf numFmtId="3" fontId="5" fillId="0" borderId="20" xfId="266" applyNumberFormat="1" applyFont="1" applyFill="1" applyBorder="1" applyAlignment="1">
      <alignment horizontal="center" vertical="center"/>
      <protection/>
    </xf>
    <xf numFmtId="3" fontId="27" fillId="0" borderId="20" xfId="266" applyNumberFormat="1" applyFont="1" applyFill="1" applyBorder="1" applyAlignment="1">
      <alignment horizontal="center" vertical="center"/>
      <protection/>
    </xf>
    <xf numFmtId="49" fontId="27" fillId="0" borderId="0" xfId="266" applyNumberFormat="1" applyAlignment="1">
      <alignment horizontal="center"/>
      <protection/>
    </xf>
    <xf numFmtId="49" fontId="73" fillId="0" borderId="0" xfId="266" applyNumberFormat="1" applyFont="1" applyAlignment="1">
      <alignment horizontal="left"/>
      <protection/>
    </xf>
    <xf numFmtId="49" fontId="32" fillId="0" borderId="0" xfId="266" applyNumberFormat="1" applyFont="1" applyAlignment="1">
      <alignment/>
      <protection/>
    </xf>
    <xf numFmtId="49" fontId="3" fillId="47" borderId="0" xfId="266" applyNumberFormat="1" applyFont="1" applyFill="1" applyBorder="1" applyAlignment="1">
      <alignment/>
      <protection/>
    </xf>
    <xf numFmtId="49" fontId="3" fillId="0" borderId="0" xfId="266" applyNumberFormat="1" applyFont="1" applyAlignment="1">
      <alignment/>
      <protection/>
    </xf>
    <xf numFmtId="49" fontId="3" fillId="0" borderId="0" xfId="266" applyNumberFormat="1" applyFont="1" applyBorder="1" applyAlignment="1">
      <alignment/>
      <protection/>
    </xf>
    <xf numFmtId="49" fontId="6" fillId="0" borderId="22" xfId="266" applyNumberFormat="1" applyFont="1" applyBorder="1" applyAlignment="1">
      <alignment/>
      <protection/>
    </xf>
    <xf numFmtId="3" fontId="19" fillId="0" borderId="20" xfId="266" applyNumberFormat="1" applyFont="1" applyBorder="1" applyAlignment="1">
      <alignment horizontal="center" vertical="center"/>
      <protection/>
    </xf>
    <xf numFmtId="49" fontId="27" fillId="47" borderId="0" xfId="266" applyNumberFormat="1" applyFont="1" applyFill="1" applyAlignment="1">
      <alignment vertical="center"/>
      <protection/>
    </xf>
    <xf numFmtId="3" fontId="27" fillId="47" borderId="20" xfId="266" applyNumberFormat="1" applyFont="1" applyFill="1" applyBorder="1" applyAlignment="1">
      <alignment horizontal="center" vertical="center"/>
      <protection/>
    </xf>
    <xf numFmtId="3" fontId="92" fillId="0" borderId="20" xfId="266" applyNumberFormat="1" applyFont="1" applyBorder="1" applyAlignment="1">
      <alignment horizontal="center" vertical="center"/>
      <protection/>
    </xf>
    <xf numFmtId="0" fontId="5" fillId="0" borderId="19" xfId="266" applyFont="1" applyFill="1" applyBorder="1" applyAlignment="1">
      <alignment horizontal="center" vertical="center"/>
      <protection/>
    </xf>
    <xf numFmtId="49" fontId="6" fillId="0" borderId="19" xfId="264" applyNumberFormat="1" applyFont="1" applyFill="1" applyBorder="1" applyAlignment="1">
      <alignment horizontal="left" vertical="center"/>
      <protection/>
    </xf>
    <xf numFmtId="3" fontId="5" fillId="0" borderId="19" xfId="266" applyNumberFormat="1" applyFont="1" applyFill="1" applyBorder="1" applyAlignment="1">
      <alignment horizontal="center" vertical="center"/>
      <protection/>
    </xf>
    <xf numFmtId="3" fontId="19" fillId="0" borderId="19" xfId="266" applyNumberFormat="1" applyFont="1" applyFill="1" applyBorder="1" applyAlignment="1">
      <alignment horizontal="center" vertical="center"/>
      <protection/>
    </xf>
    <xf numFmtId="3" fontId="27" fillId="0" borderId="19" xfId="266" applyNumberFormat="1" applyFont="1" applyFill="1" applyBorder="1" applyAlignment="1">
      <alignment vertical="center"/>
      <protection/>
    </xf>
    <xf numFmtId="3" fontId="93" fillId="0" borderId="19" xfId="266" applyNumberFormat="1" applyFont="1" applyFill="1" applyBorder="1" applyAlignment="1">
      <alignment vertical="center"/>
      <protection/>
    </xf>
    <xf numFmtId="49" fontId="32" fillId="0" borderId="0" xfId="266" applyNumberFormat="1" applyFont="1" applyBorder="1" applyAlignment="1">
      <alignment/>
      <protection/>
    </xf>
    <xf numFmtId="49" fontId="29" fillId="0" borderId="0" xfId="266" applyNumberFormat="1" applyFont="1" applyBorder="1" applyAlignment="1">
      <alignment horizontal="center"/>
      <protection/>
    </xf>
    <xf numFmtId="49" fontId="29" fillId="0" borderId="0" xfId="266" applyNumberFormat="1" applyFont="1" applyAlignment="1">
      <alignment/>
      <protection/>
    </xf>
    <xf numFmtId="0" fontId="5" fillId="47" borderId="0" xfId="266" applyFont="1" applyFill="1" applyBorder="1" applyAlignment="1">
      <alignment/>
      <protection/>
    </xf>
    <xf numFmtId="49" fontId="94" fillId="0" borderId="0" xfId="266" applyNumberFormat="1" applyFont="1">
      <alignment/>
      <protection/>
    </xf>
    <xf numFmtId="49" fontId="95" fillId="0" borderId="0" xfId="266" applyNumberFormat="1" applyFont="1">
      <alignment/>
      <protection/>
    </xf>
    <xf numFmtId="49" fontId="96" fillId="0" borderId="0" xfId="266" applyNumberFormat="1" applyFont="1" applyAlignment="1">
      <alignment horizontal="center"/>
      <protection/>
    </xf>
    <xf numFmtId="49" fontId="25" fillId="47" borderId="0" xfId="264" applyNumberFormat="1" applyFont="1" applyFill="1" applyAlignment="1">
      <alignment/>
      <protection/>
    </xf>
    <xf numFmtId="49" fontId="81" fillId="0" borderId="0" xfId="266" applyNumberFormat="1" applyFont="1">
      <alignment/>
      <protection/>
    </xf>
    <xf numFmtId="49" fontId="32" fillId="0" borderId="0" xfId="266" applyNumberFormat="1" applyFont="1" applyBorder="1" applyAlignment="1">
      <alignment wrapText="1"/>
      <protection/>
    </xf>
    <xf numFmtId="49" fontId="84" fillId="0" borderId="0" xfId="266" applyNumberFormat="1" applyFont="1">
      <alignment/>
      <protection/>
    </xf>
    <xf numFmtId="49" fontId="79" fillId="0" borderId="0" xfId="266" applyNumberFormat="1" applyFont="1">
      <alignment/>
      <protection/>
    </xf>
    <xf numFmtId="49" fontId="14" fillId="0" borderId="0" xfId="266" applyNumberFormat="1" applyFont="1" applyFill="1" applyAlignment="1">
      <alignment wrapText="1"/>
      <protection/>
    </xf>
    <xf numFmtId="49" fontId="0" fillId="0" borderId="0" xfId="266" applyNumberFormat="1" applyFont="1" applyFill="1" applyBorder="1" applyAlignment="1">
      <alignment/>
      <protection/>
    </xf>
    <xf numFmtId="49" fontId="3" fillId="0" borderId="0" xfId="266" applyNumberFormat="1" applyFont="1" applyFill="1" applyBorder="1" applyAlignment="1">
      <alignment/>
      <protection/>
    </xf>
    <xf numFmtId="49" fontId="97" fillId="0" borderId="0" xfId="266" applyNumberFormat="1" applyFont="1" applyFill="1">
      <alignment/>
      <protection/>
    </xf>
    <xf numFmtId="49" fontId="27" fillId="0" borderId="0" xfId="266" applyNumberFormat="1" applyFont="1" applyFill="1" applyAlignment="1">
      <alignment horizontal="center"/>
      <protection/>
    </xf>
    <xf numFmtId="49" fontId="19" fillId="0" borderId="0" xfId="266" applyNumberFormat="1" applyFont="1" applyFill="1" applyBorder="1" applyAlignment="1">
      <alignment/>
      <protection/>
    </xf>
    <xf numFmtId="49" fontId="6" fillId="0" borderId="0" xfId="266" applyNumberFormat="1" applyFont="1" applyFill="1" applyBorder="1" applyAlignment="1">
      <alignment/>
      <protection/>
    </xf>
    <xf numFmtId="49" fontId="83" fillId="0" borderId="0" xfId="266" applyNumberFormat="1" applyFont="1" applyFill="1">
      <alignment/>
      <protection/>
    </xf>
    <xf numFmtId="49" fontId="83" fillId="0" borderId="0" xfId="266" applyNumberFormat="1" applyFont="1" applyFill="1" applyAlignment="1">
      <alignment/>
      <protection/>
    </xf>
    <xf numFmtId="49" fontId="19" fillId="0" borderId="27" xfId="266" applyNumberFormat="1" applyFont="1" applyFill="1" applyBorder="1" applyAlignment="1">
      <alignment horizontal="center" vertical="center"/>
      <protection/>
    </xf>
    <xf numFmtId="3" fontId="6" fillId="44" borderId="27" xfId="266" applyNumberFormat="1" applyFont="1" applyFill="1" applyBorder="1" applyAlignment="1">
      <alignment horizontal="center" vertical="center"/>
      <protection/>
    </xf>
    <xf numFmtId="3" fontId="6" fillId="44" borderId="23" xfId="266" applyNumberFormat="1" applyFont="1" applyFill="1" applyBorder="1" applyAlignment="1">
      <alignment horizontal="center" vertical="center"/>
      <protection/>
    </xf>
    <xf numFmtId="49" fontId="3" fillId="0" borderId="0" xfId="266" applyNumberFormat="1" applyFont="1" applyAlignment="1">
      <alignment horizontal="center"/>
      <protection/>
    </xf>
    <xf numFmtId="49" fontId="25" fillId="0" borderId="0" xfId="266" applyNumberFormat="1" applyFont="1">
      <alignment/>
      <protection/>
    </xf>
    <xf numFmtId="49" fontId="3" fillId="0" borderId="0" xfId="266" applyNumberFormat="1" applyFont="1">
      <alignment/>
      <protection/>
    </xf>
    <xf numFmtId="49" fontId="29" fillId="0" borderId="0" xfId="266" applyNumberFormat="1" applyFont="1">
      <alignment/>
      <protection/>
    </xf>
    <xf numFmtId="3" fontId="3" fillId="47" borderId="0" xfId="266" applyNumberFormat="1" applyFont="1" applyFill="1" applyBorder="1" applyAlignment="1">
      <alignment/>
      <protection/>
    </xf>
    <xf numFmtId="0" fontId="3" fillId="0" borderId="0" xfId="266" applyFont="1">
      <alignment/>
      <protection/>
    </xf>
    <xf numFmtId="0" fontId="4" fillId="0" borderId="0" xfId="266" applyFont="1" applyBorder="1" applyAlignment="1">
      <alignment horizontal="left"/>
      <protection/>
    </xf>
    <xf numFmtId="3" fontId="0" fillId="0" borderId="0" xfId="266" applyNumberFormat="1" applyFont="1" applyAlignment="1">
      <alignment horizontal="left"/>
      <protection/>
    </xf>
    <xf numFmtId="0" fontId="13" fillId="0" borderId="0" xfId="266" applyFont="1" applyBorder="1" applyAlignment="1">
      <alignment/>
      <protection/>
    </xf>
    <xf numFmtId="0" fontId="7" fillId="0" borderId="20" xfId="266" applyFont="1" applyFill="1" applyBorder="1" applyAlignment="1">
      <alignment horizontal="center" vertical="center" wrapText="1"/>
      <protection/>
    </xf>
    <xf numFmtId="0" fontId="3" fillId="0" borderId="0" xfId="266" applyFont="1" applyFill="1" applyBorder="1">
      <alignment/>
      <protection/>
    </xf>
    <xf numFmtId="0" fontId="3" fillId="0" borderId="0" xfId="266" applyFont="1" applyFill="1">
      <alignment/>
      <protection/>
    </xf>
    <xf numFmtId="3" fontId="18" fillId="0" borderId="20" xfId="266" applyNumberFormat="1" applyFont="1" applyBorder="1" applyAlignment="1">
      <alignment horizontal="center" vertical="center"/>
      <protection/>
    </xf>
    <xf numFmtId="0" fontId="0" fillId="0" borderId="0" xfId="266" applyFont="1" applyAlignment="1">
      <alignment horizontal="center" vertical="center"/>
      <protection/>
    </xf>
    <xf numFmtId="3" fontId="4" fillId="44" borderId="20" xfId="266" applyNumberFormat="1" applyFont="1" applyFill="1" applyBorder="1" applyAlignment="1">
      <alignment horizontal="center" vertical="center"/>
      <protection/>
    </xf>
    <xf numFmtId="0" fontId="3" fillId="0" borderId="0" xfId="266" applyFont="1" applyAlignment="1">
      <alignment vertical="center"/>
      <protection/>
    </xf>
    <xf numFmtId="9" fontId="3" fillId="0" borderId="0" xfId="275" applyFont="1" applyAlignment="1">
      <alignment vertical="center"/>
    </xf>
    <xf numFmtId="0" fontId="3" fillId="0" borderId="0" xfId="266" applyFont="1" applyAlignment="1">
      <alignment horizontal="center"/>
      <protection/>
    </xf>
    <xf numFmtId="0" fontId="25" fillId="0" borderId="0" xfId="266" applyFont="1">
      <alignment/>
      <protection/>
    </xf>
    <xf numFmtId="0" fontId="73" fillId="0" borderId="0" xfId="266" applyFont="1" applyAlignment="1">
      <alignment horizontal="center"/>
      <protection/>
    </xf>
    <xf numFmtId="49" fontId="53" fillId="0" borderId="0" xfId="266" applyNumberFormat="1" applyFont="1">
      <alignment/>
      <protection/>
    </xf>
    <xf numFmtId="49" fontId="98" fillId="0" borderId="0" xfId="266" applyNumberFormat="1" applyFont="1" applyBorder="1" applyAlignment="1">
      <alignment wrapText="1"/>
      <protection/>
    </xf>
    <xf numFmtId="0" fontId="32" fillId="0" borderId="0" xfId="266"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262"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262"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262"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9" fillId="47" borderId="20" xfId="0" applyNumberFormat="1" applyFont="1" applyFill="1" applyBorder="1" applyAlignment="1">
      <alignment/>
    </xf>
    <xf numFmtId="3" fontId="29" fillId="47" borderId="20" xfId="262" applyNumberFormat="1" applyFont="1" applyFill="1" applyBorder="1" applyAlignment="1" applyProtection="1">
      <alignment horizontal="center" vertical="center"/>
      <protection/>
    </xf>
    <xf numFmtId="49" fontId="32" fillId="47" borderId="20" xfId="0" applyNumberFormat="1" applyFont="1" applyFill="1" applyBorder="1" applyAlignment="1">
      <alignment/>
    </xf>
    <xf numFmtId="3" fontId="32" fillId="47" borderId="20" xfId="262" applyNumberFormat="1" applyFont="1" applyFill="1" applyBorder="1" applyAlignment="1" applyProtection="1">
      <alignment horizontal="center" vertical="center"/>
      <protection/>
    </xf>
    <xf numFmtId="49" fontId="29" fillId="47" borderId="20" xfId="0" applyNumberFormat="1" applyFont="1" applyFill="1" applyBorder="1" applyAlignment="1">
      <alignment/>
    </xf>
    <xf numFmtId="49" fontId="53" fillId="47" borderId="20" xfId="0" applyNumberFormat="1" applyFont="1" applyFill="1" applyBorder="1" applyAlignment="1">
      <alignment/>
    </xf>
    <xf numFmtId="3" fontId="53" fillId="47" borderId="20" xfId="262" applyNumberFormat="1" applyFont="1" applyFill="1" applyBorder="1" applyAlignment="1" applyProtection="1">
      <alignment horizontal="center" vertical="center"/>
      <protection/>
    </xf>
    <xf numFmtId="10" fontId="29" fillId="0" borderId="20" xfId="161" applyNumberFormat="1" applyFont="1" applyFill="1" applyBorder="1" applyAlignment="1">
      <alignment horizontal="center" vertical="center"/>
      <protection/>
    </xf>
    <xf numFmtId="10" fontId="53" fillId="0" borderId="20" xfId="16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8" fillId="47" borderId="20" xfId="0" applyNumberFormat="1" applyFont="1" applyFill="1" applyBorder="1" applyAlignment="1">
      <alignment/>
    </xf>
    <xf numFmtId="10" fontId="58" fillId="0" borderId="20" xfId="161" applyNumberFormat="1" applyFont="1" applyFill="1" applyBorder="1" applyAlignment="1">
      <alignment horizontal="center" vertical="center"/>
      <protection/>
    </xf>
    <xf numFmtId="3" fontId="58" fillId="47" borderId="20" xfId="262" applyNumberFormat="1" applyFont="1" applyFill="1" applyBorder="1" applyAlignment="1" applyProtection="1">
      <alignment horizontal="center" vertical="center"/>
      <protection/>
    </xf>
    <xf numFmtId="49" fontId="101" fillId="47" borderId="20" xfId="0" applyNumberFormat="1" applyFont="1" applyFill="1" applyBorder="1" applyAlignment="1">
      <alignment/>
    </xf>
    <xf numFmtId="49" fontId="58" fillId="47" borderId="35" xfId="0" applyNumberFormat="1" applyFont="1" applyFill="1" applyBorder="1" applyAlignment="1">
      <alignment/>
    </xf>
    <xf numFmtId="3" fontId="58" fillId="47" borderId="19" xfId="262" applyNumberFormat="1" applyFont="1" applyFill="1" applyBorder="1" applyAlignment="1" applyProtection="1">
      <alignment horizontal="center" vertical="center"/>
      <protection/>
    </xf>
    <xf numFmtId="10" fontId="58" fillId="0" borderId="36" xfId="16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262" applyNumberFormat="1" applyFont="1" applyFill="1" applyBorder="1" applyAlignment="1" applyProtection="1">
      <alignment horizontal="center" vertical="center"/>
      <protection/>
    </xf>
    <xf numFmtId="3" fontId="4" fillId="47" borderId="37" xfId="262"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49" fontId="4" fillId="0" borderId="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25" fillId="0" borderId="0" xfId="0" applyNumberFormat="1" applyFont="1" applyFill="1" applyAlignment="1">
      <alignment horizontal="center"/>
    </xf>
    <xf numFmtId="0" fontId="29" fillId="0" borderId="0" xfId="0" applyNumberFormat="1" applyFont="1" applyFill="1" applyAlignment="1">
      <alignment horizontal="left"/>
    </xf>
    <xf numFmtId="0" fontId="25" fillId="0" borderId="0" xfId="0" applyNumberFormat="1" applyFont="1" applyFill="1" applyAlignment="1">
      <alignment/>
    </xf>
    <xf numFmtId="0" fontId="20" fillId="49" borderId="20" xfId="0" applyFont="1" applyFill="1" applyBorder="1" applyAlignment="1">
      <alignment/>
    </xf>
    <xf numFmtId="0" fontId="0" fillId="49" borderId="20" xfId="0" applyFont="1" applyFill="1" applyBorder="1" applyAlignment="1">
      <alignment/>
    </xf>
    <xf numFmtId="49" fontId="4" fillId="0" borderId="0" xfId="0" applyNumberFormat="1" applyFont="1" applyFill="1" applyAlignment="1">
      <alignment horizontal="left"/>
    </xf>
    <xf numFmtId="49" fontId="13" fillId="0" borderId="0" xfId="0" applyNumberFormat="1" applyFont="1" applyFill="1" applyAlignment="1">
      <alignment horizontal="left"/>
    </xf>
    <xf numFmtId="0" fontId="25" fillId="0" borderId="0" xfId="0" applyNumberFormat="1" applyFont="1" applyFill="1" applyAlignment="1">
      <alignment horizontal="left"/>
    </xf>
    <xf numFmtId="0" fontId="29" fillId="0" borderId="0" xfId="0" applyNumberFormat="1" applyFont="1" applyFill="1" applyAlignment="1">
      <alignment horizontal="left" wrapText="1"/>
    </xf>
    <xf numFmtId="49" fontId="29" fillId="0" borderId="0" xfId="0" applyNumberFormat="1" applyFont="1" applyFill="1" applyAlignment="1">
      <alignment horizontal="left"/>
    </xf>
    <xf numFmtId="49" fontId="4" fillId="49" borderId="0" xfId="0" applyNumberFormat="1" applyFont="1" applyFill="1" applyAlignment="1">
      <alignment/>
    </xf>
    <xf numFmtId="49" fontId="31" fillId="0" borderId="39" xfId="0" applyNumberFormat="1" applyFont="1" applyFill="1" applyBorder="1" applyAlignment="1" applyProtection="1">
      <alignment horizontal="left" vertical="center"/>
      <protection/>
    </xf>
    <xf numFmtId="210" fontId="31" fillId="0" borderId="20" xfId="0" applyNumberFormat="1" applyFont="1" applyFill="1" applyBorder="1" applyAlignment="1" applyProtection="1">
      <alignment horizontal="left" vertical="center"/>
      <protection/>
    </xf>
    <xf numFmtId="0" fontId="20" fillId="49" borderId="20" xfId="0" applyFont="1" applyFill="1" applyBorder="1" applyAlignment="1">
      <alignment wrapText="1"/>
    </xf>
    <xf numFmtId="0" fontId="0" fillId="49" borderId="38" xfId="0" applyFill="1" applyBorder="1" applyAlignment="1">
      <alignment/>
    </xf>
    <xf numFmtId="210" fontId="25" fillId="0" borderId="0" xfId="0" applyNumberFormat="1" applyFont="1" applyFill="1" applyAlignment="1">
      <alignment horizontal="center"/>
    </xf>
    <xf numFmtId="210" fontId="4" fillId="0" borderId="0" xfId="0" applyNumberFormat="1" applyFont="1" applyFill="1" applyAlignment="1">
      <alignment/>
    </xf>
    <xf numFmtId="210" fontId="4" fillId="0" borderId="0" xfId="0" applyNumberFormat="1" applyFont="1" applyFill="1" applyBorder="1" applyAlignment="1">
      <alignment/>
    </xf>
    <xf numFmtId="210" fontId="4" fillId="49" borderId="0" xfId="0" applyNumberFormat="1" applyFont="1" applyFill="1" applyAlignment="1">
      <alignment/>
    </xf>
    <xf numFmtId="210" fontId="104" fillId="0" borderId="20" xfId="0" applyNumberFormat="1" applyFont="1" applyFill="1" applyBorder="1" applyAlignment="1" applyProtection="1">
      <alignment horizontal="left" vertical="center"/>
      <protection/>
    </xf>
    <xf numFmtId="210" fontId="105" fillId="0" borderId="0" xfId="0" applyNumberFormat="1" applyFont="1" applyFill="1" applyAlignment="1">
      <alignment horizontal="center"/>
    </xf>
    <xf numFmtId="3" fontId="4" fillId="49" borderId="0" xfId="0" applyNumberFormat="1" applyFont="1" applyFill="1" applyAlignment="1">
      <alignment/>
    </xf>
    <xf numFmtId="49" fontId="30" fillId="0" borderId="0" xfId="0" applyNumberFormat="1" applyFont="1" applyFill="1" applyAlignment="1">
      <alignment/>
    </xf>
    <xf numFmtId="49" fontId="5" fillId="0" borderId="0" xfId="0" applyNumberFormat="1" applyFont="1" applyFill="1" applyAlignment="1">
      <alignment/>
    </xf>
    <xf numFmtId="49" fontId="5" fillId="0" borderId="0" xfId="0" applyNumberFormat="1" applyFont="1" applyFill="1" applyAlignment="1">
      <alignment horizontal="center"/>
    </xf>
    <xf numFmtId="49" fontId="5" fillId="0" borderId="0" xfId="0" applyNumberFormat="1" applyFont="1" applyFill="1" applyBorder="1" applyAlignment="1">
      <alignment/>
    </xf>
    <xf numFmtId="49" fontId="30" fillId="0" borderId="0" xfId="0" applyNumberFormat="1" applyFont="1" applyFill="1" applyBorder="1" applyAlignment="1">
      <alignment/>
    </xf>
    <xf numFmtId="49" fontId="5" fillId="0" borderId="0" xfId="0" applyNumberFormat="1" applyFont="1" applyFill="1" applyAlignment="1">
      <alignment/>
    </xf>
    <xf numFmtId="49" fontId="30" fillId="0" borderId="0" xfId="0" applyNumberFormat="1" applyFont="1" applyFill="1" applyAlignment="1">
      <alignment/>
    </xf>
    <xf numFmtId="49" fontId="90" fillId="0" borderId="0" xfId="0" applyNumberFormat="1" applyFont="1" applyFill="1" applyBorder="1" applyAlignment="1">
      <alignment horizontal="center"/>
    </xf>
    <xf numFmtId="49" fontId="90" fillId="0" borderId="0" xfId="0" applyNumberFormat="1" applyFont="1" applyFill="1" applyBorder="1" applyAlignment="1">
      <alignment/>
    </xf>
    <xf numFmtId="49" fontId="19" fillId="0" borderId="0" xfId="0" applyNumberFormat="1" applyFont="1" applyFill="1" applyBorder="1" applyAlignment="1">
      <alignment/>
    </xf>
    <xf numFmtId="49" fontId="5" fillId="0" borderId="20" xfId="0" applyNumberFormat="1" applyFont="1" applyFill="1" applyBorder="1" applyAlignment="1" applyProtection="1">
      <alignment horizontal="center" vertical="center" wrapText="1"/>
      <protection/>
    </xf>
    <xf numFmtId="49" fontId="90" fillId="0" borderId="20" xfId="0" applyNumberFormat="1" applyFont="1" applyFill="1" applyBorder="1" applyAlignment="1" applyProtection="1">
      <alignment horizontal="center" vertical="center"/>
      <protection/>
    </xf>
    <xf numFmtId="49" fontId="19" fillId="0" borderId="20" xfId="0" applyNumberFormat="1" applyFont="1" applyFill="1" applyBorder="1" applyAlignment="1" applyProtection="1">
      <alignment horizontal="center" vertical="center"/>
      <protection/>
    </xf>
    <xf numFmtId="49" fontId="19" fillId="0" borderId="39" xfId="0" applyNumberFormat="1" applyFont="1" applyFill="1" applyBorder="1" applyAlignment="1" applyProtection="1">
      <alignment horizontal="center" vertical="center"/>
      <protection/>
    </xf>
    <xf numFmtId="0" fontId="5" fillId="0" borderId="19" xfId="0" applyNumberFormat="1" applyFont="1" applyFill="1" applyBorder="1" applyAlignment="1">
      <alignment/>
    </xf>
    <xf numFmtId="0" fontId="5" fillId="0" borderId="0" xfId="0" applyNumberFormat="1" applyFont="1" applyFill="1" applyAlignment="1">
      <alignment/>
    </xf>
    <xf numFmtId="0" fontId="30" fillId="0" borderId="0" xfId="0" applyNumberFormat="1" applyFont="1" applyFill="1" applyAlignment="1">
      <alignment/>
    </xf>
    <xf numFmtId="0" fontId="30" fillId="0" borderId="0" xfId="0" applyNumberFormat="1" applyFont="1" applyFill="1" applyAlignment="1">
      <alignment/>
    </xf>
    <xf numFmtId="0" fontId="5" fillId="0" borderId="0" xfId="0" applyNumberFormat="1" applyFont="1" applyFill="1" applyAlignment="1">
      <alignment/>
    </xf>
    <xf numFmtId="0" fontId="30" fillId="0" borderId="0" xfId="0" applyNumberFormat="1" applyFont="1" applyFill="1" applyAlignment="1">
      <alignment wrapText="1"/>
    </xf>
    <xf numFmtId="0" fontId="5" fillId="0" borderId="0" xfId="0" applyNumberFormat="1" applyFont="1" applyFill="1" applyAlignment="1">
      <alignment wrapText="1"/>
    </xf>
    <xf numFmtId="0" fontId="6" fillId="0" borderId="0" xfId="0" applyNumberFormat="1" applyFont="1" applyFill="1" applyAlignment="1">
      <alignment/>
    </xf>
    <xf numFmtId="210" fontId="5" fillId="47" borderId="20" xfId="280" applyNumberFormat="1" applyFont="1" applyFill="1" applyBorder="1" applyAlignment="1">
      <alignment horizontal="right"/>
    </xf>
    <xf numFmtId="210" fontId="5" fillId="50" borderId="20" xfId="0" applyNumberFormat="1" applyFont="1" applyFill="1" applyBorder="1" applyAlignment="1" applyProtection="1">
      <alignment horizontal="right" vertical="center"/>
      <protection/>
    </xf>
    <xf numFmtId="210" fontId="5" fillId="50" borderId="20" xfId="280" applyNumberFormat="1" applyFont="1" applyFill="1" applyBorder="1" applyAlignment="1">
      <alignment horizontal="right"/>
    </xf>
    <xf numFmtId="0" fontId="30" fillId="50" borderId="20" xfId="0" applyFont="1" applyFill="1" applyBorder="1" applyAlignment="1" applyProtection="1">
      <alignment horizontal="center" vertical="center"/>
      <protection/>
    </xf>
    <xf numFmtId="0" fontId="30" fillId="50" borderId="20" xfId="0" applyFont="1" applyFill="1" applyBorder="1" applyAlignment="1" applyProtection="1">
      <alignment horizontal="left" vertical="center"/>
      <protection/>
    </xf>
    <xf numFmtId="210" fontId="5" fillId="51" borderId="20" xfId="0" applyNumberFormat="1" applyFont="1" applyFill="1" applyBorder="1" applyAlignment="1" applyProtection="1">
      <alignment horizontal="left" vertical="center"/>
      <protection/>
    </xf>
    <xf numFmtId="210" fontId="5" fillId="51" borderId="20" xfId="0" applyNumberFormat="1" applyFont="1" applyFill="1" applyBorder="1" applyAlignment="1" applyProtection="1">
      <alignment horizontal="right" vertical="center"/>
      <protection/>
    </xf>
    <xf numFmtId="210" fontId="5" fillId="51" borderId="20" xfId="267" applyNumberFormat="1" applyFont="1" applyFill="1" applyBorder="1" applyAlignment="1" applyProtection="1">
      <alignment horizontal="right" vertical="center"/>
      <protection/>
    </xf>
    <xf numFmtId="210" fontId="5" fillId="47" borderId="20" xfId="268" applyNumberFormat="1" applyFont="1" applyFill="1" applyBorder="1" applyAlignment="1">
      <alignment horizontal="right"/>
      <protection/>
    </xf>
    <xf numFmtId="210" fontId="5" fillId="51" borderId="20" xfId="280" applyNumberFormat="1" applyFont="1" applyFill="1" applyBorder="1" applyAlignment="1" applyProtection="1">
      <alignment horizontal="right" vertical="center"/>
      <protection/>
    </xf>
    <xf numFmtId="210" fontId="5" fillId="51" borderId="20" xfId="0" applyNumberFormat="1" applyFont="1" applyFill="1" applyBorder="1" applyAlignment="1">
      <alignment horizontal="right"/>
    </xf>
    <xf numFmtId="210" fontId="5" fillId="51" borderId="20" xfId="0" applyNumberFormat="1" applyFont="1" applyFill="1" applyBorder="1" applyAlignment="1">
      <alignment horizontal="right" vertical="center"/>
    </xf>
    <xf numFmtId="210" fontId="5" fillId="51" borderId="0" xfId="0" applyNumberFormat="1" applyFont="1" applyFill="1" applyAlignment="1">
      <alignment horizontal="right"/>
    </xf>
    <xf numFmtId="0" fontId="30" fillId="50" borderId="20" xfId="266" applyFont="1" applyFill="1" applyBorder="1" applyAlignment="1">
      <alignment horizontal="left"/>
      <protection/>
    </xf>
    <xf numFmtId="216" fontId="8" fillId="0" borderId="0" xfId="0" applyNumberFormat="1" applyFont="1" applyFill="1" applyAlignment="1">
      <alignment horizontal="left"/>
    </xf>
    <xf numFmtId="49" fontId="8" fillId="0" borderId="0" xfId="0" applyNumberFormat="1" applyFont="1" applyFill="1" applyAlignment="1">
      <alignment horizontal="left"/>
    </xf>
    <xf numFmtId="210" fontId="108" fillId="0" borderId="0" xfId="0" applyNumberFormat="1" applyFont="1" applyFill="1" applyAlignment="1">
      <alignment horizontal="left"/>
    </xf>
    <xf numFmtId="210" fontId="8" fillId="0" borderId="0" xfId="0" applyNumberFormat="1" applyFont="1" applyFill="1" applyAlignment="1">
      <alignment horizontal="left"/>
    </xf>
    <xf numFmtId="210" fontId="8" fillId="0" borderId="0" xfId="0" applyNumberFormat="1" applyFont="1" applyFill="1" applyBorder="1" applyAlignment="1">
      <alignment horizontal="left"/>
    </xf>
    <xf numFmtId="210" fontId="108" fillId="0" borderId="0" xfId="0" applyNumberFormat="1" applyFont="1" applyFill="1" applyBorder="1" applyAlignment="1">
      <alignment horizontal="left"/>
    </xf>
    <xf numFmtId="49" fontId="8" fillId="0" borderId="0" xfId="0" applyNumberFormat="1" applyFont="1" applyFill="1" applyBorder="1" applyAlignment="1">
      <alignment horizontal="left"/>
    </xf>
    <xf numFmtId="216" fontId="31" fillId="0" borderId="0" xfId="0" applyNumberFormat="1" applyFont="1" applyFill="1" applyAlignment="1">
      <alignment horizontal="left"/>
    </xf>
    <xf numFmtId="210" fontId="8" fillId="0" borderId="20" xfId="0" applyNumberFormat="1" applyFont="1" applyFill="1" applyBorder="1" applyAlignment="1" applyProtection="1">
      <alignment horizontal="center" vertical="center" wrapText="1"/>
      <protection/>
    </xf>
    <xf numFmtId="210" fontId="8" fillId="0" borderId="20" xfId="0" applyNumberFormat="1" applyFont="1" applyFill="1" applyBorder="1" applyAlignment="1">
      <alignment horizontal="center" vertical="center" wrapText="1"/>
    </xf>
    <xf numFmtId="49" fontId="8" fillId="0" borderId="20" xfId="0" applyNumberFormat="1" applyFont="1" applyFill="1" applyBorder="1" applyAlignment="1">
      <alignment horizontal="left"/>
    </xf>
    <xf numFmtId="3" fontId="8" fillId="50" borderId="20" xfId="0" applyNumberFormat="1" applyFont="1" applyFill="1" applyBorder="1" applyAlignment="1" applyProtection="1">
      <alignment horizontal="right" vertical="center"/>
      <protection/>
    </xf>
    <xf numFmtId="3" fontId="26" fillId="50" borderId="20" xfId="267" applyNumberFormat="1" applyFont="1" applyFill="1" applyBorder="1" applyAlignment="1" applyProtection="1">
      <alignment horizontal="right" vertical="center"/>
      <protection/>
    </xf>
    <xf numFmtId="3" fontId="26" fillId="50" borderId="20" xfId="267" applyNumberFormat="1" applyFont="1" applyFill="1" applyBorder="1" applyAlignment="1">
      <alignment horizontal="right"/>
      <protection/>
    </xf>
    <xf numFmtId="210" fontId="8" fillId="49" borderId="0" xfId="0" applyNumberFormat="1" applyFont="1" applyFill="1" applyAlignment="1">
      <alignment horizontal="right"/>
    </xf>
    <xf numFmtId="49" fontId="8" fillId="49" borderId="0" xfId="0" applyNumberFormat="1" applyFont="1" applyFill="1" applyAlignment="1">
      <alignment horizontal="left"/>
    </xf>
    <xf numFmtId="0" fontId="108" fillId="50" borderId="20" xfId="0" applyFont="1" applyFill="1" applyBorder="1" applyAlignment="1" applyProtection="1">
      <alignment horizontal="left" vertical="center"/>
      <protection/>
    </xf>
    <xf numFmtId="210" fontId="8" fillId="51" borderId="20" xfId="0" applyNumberFormat="1" applyFont="1" applyFill="1" applyBorder="1" applyAlignment="1" applyProtection="1">
      <alignment horizontal="left" vertical="center"/>
      <protection/>
    </xf>
    <xf numFmtId="3" fontId="109" fillId="51" borderId="20" xfId="0" applyNumberFormat="1" applyFont="1" applyFill="1" applyBorder="1" applyAlignment="1" applyProtection="1">
      <alignment horizontal="right" vertical="center"/>
      <protection/>
    </xf>
    <xf numFmtId="3" fontId="109" fillId="51" borderId="20" xfId="267" applyNumberFormat="1" applyFont="1" applyFill="1" applyBorder="1" applyAlignment="1" applyProtection="1">
      <alignment horizontal="right" vertical="center"/>
      <protection/>
    </xf>
    <xf numFmtId="3" fontId="8" fillId="47" borderId="20" xfId="280" applyNumberFormat="1" applyFont="1" applyFill="1" applyBorder="1" applyAlignment="1">
      <alignment horizontal="right"/>
    </xf>
    <xf numFmtId="3" fontId="26" fillId="47" borderId="20" xfId="267" applyNumberFormat="1" applyFont="1" applyFill="1" applyBorder="1" applyAlignment="1">
      <alignment horizontal="right"/>
      <protection/>
    </xf>
    <xf numFmtId="3" fontId="109" fillId="51" borderId="20" xfId="280" applyNumberFormat="1" applyFont="1" applyFill="1" applyBorder="1" applyAlignment="1" applyProtection="1">
      <alignment horizontal="right" vertical="center"/>
      <protection/>
    </xf>
    <xf numFmtId="3" fontId="109" fillId="51" borderId="20" xfId="0" applyNumberFormat="1" applyFont="1" applyFill="1" applyBorder="1" applyAlignment="1">
      <alignment horizontal="right"/>
    </xf>
    <xf numFmtId="3" fontId="109" fillId="51" borderId="20" xfId="95" applyNumberFormat="1" applyFont="1" applyFill="1" applyBorder="1" applyAlignment="1">
      <alignment horizontal="right"/>
    </xf>
    <xf numFmtId="0" fontId="108" fillId="50" borderId="20" xfId="0" applyFont="1" applyFill="1" applyBorder="1" applyAlignment="1" applyProtection="1">
      <alignment horizontal="center" vertical="center"/>
      <protection/>
    </xf>
    <xf numFmtId="0" fontId="108" fillId="50" borderId="20" xfId="266" applyFont="1" applyFill="1" applyBorder="1" applyAlignment="1">
      <alignment horizontal="left"/>
      <protection/>
    </xf>
    <xf numFmtId="0" fontId="108" fillId="50" borderId="20" xfId="0" applyFont="1" applyFill="1" applyBorder="1" applyAlignment="1" applyProtection="1">
      <alignment horizontal="center" vertical="top"/>
      <protection/>
    </xf>
    <xf numFmtId="0" fontId="108" fillId="50" borderId="20" xfId="0" applyFont="1" applyFill="1" applyBorder="1" applyAlignment="1" applyProtection="1">
      <alignment horizontal="left" vertical="top"/>
      <protection/>
    </xf>
    <xf numFmtId="216" fontId="29" fillId="0" borderId="0" xfId="0" applyNumberFormat="1" applyFont="1" applyFill="1" applyAlignment="1">
      <alignment horizontal="left"/>
    </xf>
    <xf numFmtId="0" fontId="25" fillId="0" borderId="0" xfId="0" applyNumberFormat="1" applyFont="1" applyFill="1" applyAlignment="1">
      <alignment wrapText="1"/>
    </xf>
    <xf numFmtId="210" fontId="4" fillId="50" borderId="0" xfId="0" applyNumberFormat="1" applyFont="1" applyFill="1" applyAlignment="1">
      <alignment/>
    </xf>
    <xf numFmtId="49" fontId="4" fillId="50" borderId="0" xfId="0" applyNumberFormat="1" applyFont="1" applyFill="1" applyAlignment="1">
      <alignment/>
    </xf>
    <xf numFmtId="3" fontId="24" fillId="50" borderId="20" xfId="0" applyNumberFormat="1" applyFont="1" applyFill="1" applyBorder="1" applyAlignment="1" applyProtection="1">
      <alignment horizontal="right" vertical="center" shrinkToFit="1"/>
      <protection/>
    </xf>
    <xf numFmtId="49" fontId="8" fillId="50" borderId="0" xfId="0" applyNumberFormat="1" applyFont="1" applyFill="1" applyAlignment="1">
      <alignment horizontal="left"/>
    </xf>
    <xf numFmtId="194" fontId="24" fillId="50" borderId="20" xfId="93" applyNumberFormat="1" applyFont="1" applyFill="1" applyBorder="1" applyAlignment="1" applyProtection="1">
      <alignment horizontal="center" vertical="center"/>
      <protection/>
    </xf>
    <xf numFmtId="210" fontId="8" fillId="50" borderId="0" xfId="0" applyNumberFormat="1" applyFont="1" applyFill="1" applyAlignment="1">
      <alignment horizontal="right"/>
    </xf>
    <xf numFmtId="3" fontId="24" fillId="50" borderId="20" xfId="0" applyNumberFormat="1" applyFont="1" applyFill="1" applyBorder="1" applyAlignment="1" applyProtection="1">
      <alignment horizontal="right" vertical="center"/>
      <protection/>
    </xf>
    <xf numFmtId="3" fontId="110" fillId="50" borderId="20" xfId="0" applyNumberFormat="1" applyFont="1" applyFill="1" applyBorder="1" applyAlignment="1" applyProtection="1">
      <alignment horizontal="right" vertical="center"/>
      <protection/>
    </xf>
    <xf numFmtId="3" fontId="24" fillId="50" borderId="20" xfId="95" applyNumberFormat="1" applyFont="1" applyFill="1" applyBorder="1" applyAlignment="1" applyProtection="1">
      <alignment horizontal="right" vertical="center"/>
      <protection/>
    </xf>
    <xf numFmtId="3" fontId="24" fillId="50" borderId="20" xfId="262" applyNumberFormat="1" applyFont="1" applyFill="1" applyBorder="1" applyAlignment="1" applyProtection="1">
      <alignment horizontal="center" vertical="center"/>
      <protection locked="0"/>
    </xf>
    <xf numFmtId="3" fontId="24" fillId="50" borderId="20" xfId="0" applyNumberFormat="1" applyFont="1" applyFill="1" applyBorder="1" applyAlignment="1" applyProtection="1">
      <alignment horizontal="right"/>
      <protection/>
    </xf>
    <xf numFmtId="3" fontId="24" fillId="50" borderId="20" xfId="267" applyNumberFormat="1" applyFont="1" applyFill="1" applyBorder="1" applyAlignment="1" applyProtection="1">
      <alignment horizontal="center" vertical="center"/>
      <protection/>
    </xf>
    <xf numFmtId="3" fontId="24" fillId="50" borderId="20" xfId="262" applyNumberFormat="1" applyFont="1" applyFill="1" applyBorder="1" applyAlignment="1" applyProtection="1">
      <alignment horizontal="right" vertical="center"/>
      <protection locked="0"/>
    </xf>
    <xf numFmtId="210" fontId="24" fillId="50" borderId="20" xfId="0" applyNumberFormat="1" applyFont="1" applyFill="1" applyBorder="1" applyAlignment="1" applyProtection="1">
      <alignment horizontal="center" vertical="center"/>
      <protection/>
    </xf>
    <xf numFmtId="210" fontId="4" fillId="50" borderId="20" xfId="0" applyNumberFormat="1" applyFont="1" applyFill="1" applyBorder="1" applyAlignment="1" applyProtection="1">
      <alignment horizontal="right" vertical="center"/>
      <protection/>
    </xf>
    <xf numFmtId="1" fontId="4" fillId="50" borderId="20" xfId="0" applyNumberFormat="1" applyFont="1" applyFill="1" applyBorder="1" applyAlignment="1" applyProtection="1">
      <alignment horizontal="right" vertical="center"/>
      <protection/>
    </xf>
    <xf numFmtId="194" fontId="4" fillId="50" borderId="20" xfId="0" applyNumberFormat="1" applyFont="1" applyFill="1" applyBorder="1" applyAlignment="1" applyProtection="1">
      <alignment horizontal="right" vertical="center" shrinkToFit="1"/>
      <protection/>
    </xf>
    <xf numFmtId="210" fontId="4" fillId="50" borderId="20" xfId="0" applyNumberFormat="1" applyFont="1" applyFill="1" applyBorder="1" applyAlignment="1" applyProtection="1">
      <alignment horizontal="right"/>
      <protection/>
    </xf>
    <xf numFmtId="210" fontId="4" fillId="50" borderId="20" xfId="95" applyNumberFormat="1" applyFont="1" applyFill="1" applyBorder="1" applyAlignment="1" applyProtection="1">
      <alignment horizontal="right"/>
      <protection locked="0"/>
    </xf>
    <xf numFmtId="194" fontId="4" fillId="50" borderId="20" xfId="93" applyNumberFormat="1" applyFont="1" applyFill="1" applyBorder="1" applyAlignment="1" applyProtection="1">
      <alignment horizontal="right"/>
      <protection locked="0"/>
    </xf>
    <xf numFmtId="3" fontId="4" fillId="50" borderId="20" xfId="267" applyNumberFormat="1" applyFont="1" applyFill="1" applyBorder="1" applyAlignment="1" applyProtection="1">
      <alignment horizontal="right" vertical="center"/>
      <protection/>
    </xf>
    <xf numFmtId="210" fontId="5" fillId="50" borderId="20" xfId="268" applyNumberFormat="1" applyFont="1" applyFill="1" applyBorder="1" applyAlignment="1">
      <alignment horizontal="right"/>
      <protection/>
    </xf>
    <xf numFmtId="0" fontId="5" fillId="51" borderId="20" xfId="0" applyFont="1" applyFill="1" applyBorder="1" applyAlignment="1" applyProtection="1">
      <alignment horizontal="center" vertical="center"/>
      <protection/>
    </xf>
    <xf numFmtId="49" fontId="5" fillId="51" borderId="20" xfId="267" applyNumberFormat="1" applyFont="1" applyFill="1" applyBorder="1" applyAlignment="1" applyProtection="1">
      <alignment horizontal="left" vertical="center"/>
      <protection/>
    </xf>
    <xf numFmtId="211" fontId="4" fillId="51" borderId="20" xfId="0" applyNumberFormat="1" applyFont="1" applyFill="1" applyBorder="1" applyAlignment="1" applyProtection="1">
      <alignment horizontal="right" vertical="center"/>
      <protection/>
    </xf>
    <xf numFmtId="210" fontId="5" fillId="51" borderId="20" xfId="268" applyNumberFormat="1" applyFont="1" applyFill="1" applyBorder="1" applyAlignment="1">
      <alignment horizontal="right"/>
      <protection/>
    </xf>
    <xf numFmtId="210" fontId="5" fillId="51" borderId="20" xfId="280" applyNumberFormat="1" applyFont="1" applyFill="1" applyBorder="1" applyAlignment="1">
      <alignment horizontal="right"/>
    </xf>
    <xf numFmtId="210" fontId="4" fillId="51" borderId="0" xfId="0" applyNumberFormat="1" applyFont="1" applyFill="1" applyAlignment="1">
      <alignment/>
    </xf>
    <xf numFmtId="49" fontId="4" fillId="51" borderId="0" xfId="0" applyNumberFormat="1" applyFont="1" applyFill="1" applyAlignment="1">
      <alignment/>
    </xf>
    <xf numFmtId="0" fontId="30" fillId="51" borderId="20" xfId="0" applyFont="1" applyFill="1" applyBorder="1" applyAlignment="1" applyProtection="1">
      <alignment horizontal="center" vertical="center"/>
      <protection/>
    </xf>
    <xf numFmtId="210" fontId="4" fillId="51" borderId="20" xfId="0" applyNumberFormat="1" applyFont="1" applyFill="1" applyBorder="1" applyAlignment="1" applyProtection="1">
      <alignment horizontal="right" vertical="center"/>
      <protection/>
    </xf>
    <xf numFmtId="49" fontId="5" fillId="51" borderId="20" xfId="0" applyNumberFormat="1" applyFont="1" applyFill="1" applyBorder="1" applyAlignment="1" applyProtection="1">
      <alignment horizontal="left" vertical="center"/>
      <protection/>
    </xf>
    <xf numFmtId="1" fontId="4" fillId="51" borderId="20" xfId="0" applyNumberFormat="1" applyFont="1" applyFill="1" applyBorder="1" applyAlignment="1" applyProtection="1">
      <alignment horizontal="right" vertical="center"/>
      <protection/>
    </xf>
    <xf numFmtId="1" fontId="4" fillId="51" borderId="20" xfId="276" applyNumberFormat="1" applyFont="1" applyFill="1" applyBorder="1" applyAlignment="1" applyProtection="1">
      <alignment horizontal="right" vertical="center"/>
      <protection/>
    </xf>
    <xf numFmtId="1" fontId="4" fillId="51" borderId="20" xfId="0" applyNumberFormat="1" applyFont="1" applyFill="1" applyBorder="1" applyAlignment="1">
      <alignment horizontal="right"/>
    </xf>
    <xf numFmtId="0" fontId="5" fillId="51" borderId="20" xfId="0" applyFont="1" applyFill="1" applyBorder="1" applyAlignment="1" applyProtection="1">
      <alignment horizontal="left" vertical="center"/>
      <protection/>
    </xf>
    <xf numFmtId="0" fontId="5" fillId="51" borderId="20" xfId="266" applyFont="1" applyFill="1" applyBorder="1" applyAlignment="1">
      <alignment horizontal="left"/>
      <protection/>
    </xf>
    <xf numFmtId="210" fontId="4" fillId="51" borderId="20" xfId="280" applyNumberFormat="1" applyFont="1" applyFill="1" applyBorder="1" applyAlignment="1" applyProtection="1">
      <alignment horizontal="right" vertical="center"/>
      <protection/>
    </xf>
    <xf numFmtId="210" fontId="4" fillId="51" borderId="20" xfId="0" applyNumberFormat="1" applyFont="1" applyFill="1" applyBorder="1" applyAlignment="1">
      <alignment horizontal="right"/>
    </xf>
    <xf numFmtId="194" fontId="4" fillId="51" borderId="20" xfId="0" applyNumberFormat="1" applyFont="1" applyFill="1" applyBorder="1" applyAlignment="1" applyProtection="1">
      <alignment horizontal="right" vertical="center" shrinkToFit="1"/>
      <protection/>
    </xf>
    <xf numFmtId="49" fontId="5" fillId="51" borderId="20" xfId="0" applyNumberFormat="1" applyFont="1" applyFill="1" applyBorder="1" applyAlignment="1" applyProtection="1">
      <alignment horizontal="center" vertical="center"/>
      <protection/>
    </xf>
    <xf numFmtId="3" fontId="24" fillId="51" borderId="20" xfId="0" applyNumberFormat="1" applyFont="1" applyFill="1" applyBorder="1" applyAlignment="1" applyProtection="1">
      <alignment horizontal="left" vertical="center" wrapText="1" shrinkToFit="1"/>
      <protection locked="0"/>
    </xf>
    <xf numFmtId="194" fontId="4" fillId="51" borderId="20" xfId="0" applyNumberFormat="1" applyFont="1" applyFill="1" applyBorder="1" applyAlignment="1" applyProtection="1">
      <alignment horizontal="right" vertical="center" shrinkToFit="1"/>
      <protection locked="0"/>
    </xf>
    <xf numFmtId="194" fontId="4" fillId="51" borderId="20" xfId="0" applyNumberFormat="1" applyFont="1" applyFill="1" applyBorder="1" applyAlignment="1">
      <alignment horizontal="right" vertical="center" shrinkToFit="1"/>
    </xf>
    <xf numFmtId="3" fontId="4" fillId="51" borderId="20" xfId="0" applyNumberFormat="1" applyFont="1" applyFill="1" applyBorder="1" applyAlignment="1" applyProtection="1">
      <alignment horizontal="right" vertical="center" shrinkToFit="1"/>
      <protection/>
    </xf>
    <xf numFmtId="49" fontId="5" fillId="51" borderId="20" xfId="0" applyNumberFormat="1" applyFont="1" applyFill="1" applyBorder="1" applyAlignment="1" applyProtection="1">
      <alignment vertical="center"/>
      <protection/>
    </xf>
    <xf numFmtId="1" fontId="4" fillId="51" borderId="20" xfId="0" applyNumberFormat="1" applyFont="1" applyFill="1" applyBorder="1" applyAlignment="1">
      <alignment horizontal="right" vertical="center"/>
    </xf>
    <xf numFmtId="211" fontId="4" fillId="51" borderId="20" xfId="0" applyNumberFormat="1" applyFont="1" applyFill="1" applyBorder="1" applyAlignment="1" applyProtection="1">
      <alignment vertical="center"/>
      <protection/>
    </xf>
    <xf numFmtId="211" fontId="4" fillId="51" borderId="20" xfId="276" applyNumberFormat="1" applyFont="1" applyFill="1" applyBorder="1" applyAlignment="1" applyProtection="1">
      <alignment horizontal="right" vertical="center"/>
      <protection/>
    </xf>
    <xf numFmtId="211" fontId="4" fillId="51" borderId="20" xfId="0" applyNumberFormat="1" applyFont="1" applyFill="1" applyBorder="1" applyAlignment="1">
      <alignment horizontal="right"/>
    </xf>
    <xf numFmtId="217" fontId="4" fillId="51" borderId="20" xfId="0" applyNumberFormat="1" applyFont="1" applyFill="1" applyBorder="1" applyAlignment="1" applyProtection="1">
      <alignment horizontal="right" vertical="center"/>
      <protection hidden="1"/>
    </xf>
    <xf numFmtId="217" fontId="4" fillId="51" borderId="20" xfId="276" applyNumberFormat="1" applyFont="1" applyFill="1" applyBorder="1" applyAlignment="1" applyProtection="1">
      <alignment horizontal="right" vertical="center"/>
      <protection hidden="1"/>
    </xf>
    <xf numFmtId="217" fontId="4" fillId="51" borderId="20" xfId="0" applyNumberFormat="1" applyFont="1" applyFill="1" applyBorder="1" applyAlignment="1" applyProtection="1">
      <alignment horizontal="right"/>
      <protection hidden="1"/>
    </xf>
    <xf numFmtId="194" fontId="4" fillId="51" borderId="20" xfId="93" applyNumberFormat="1" applyFont="1" applyFill="1" applyBorder="1" applyAlignment="1" applyProtection="1">
      <alignment horizontal="right"/>
      <protection locked="0"/>
    </xf>
    <xf numFmtId="3" fontId="4" fillId="51" borderId="20" xfId="267" applyNumberFormat="1" applyFont="1" applyFill="1" applyBorder="1" applyAlignment="1" applyProtection="1">
      <alignment horizontal="right" vertical="center"/>
      <protection/>
    </xf>
    <xf numFmtId="4" fontId="5" fillId="51" borderId="20" xfId="0" applyNumberFormat="1" applyFont="1" applyFill="1" applyBorder="1" applyAlignment="1" applyProtection="1">
      <alignment horizontal="center" vertical="center"/>
      <protection/>
    </xf>
    <xf numFmtId="3" fontId="5" fillId="51" borderId="20" xfId="0" applyNumberFormat="1" applyFont="1" applyFill="1" applyBorder="1" applyAlignment="1" applyProtection="1">
      <alignment vertical="center"/>
      <protection/>
    </xf>
    <xf numFmtId="3" fontId="5" fillId="51" borderId="21" xfId="0" applyNumberFormat="1" applyFont="1" applyFill="1" applyBorder="1" applyAlignment="1" applyProtection="1">
      <alignment vertical="center"/>
      <protection/>
    </xf>
    <xf numFmtId="3" fontId="4" fillId="51" borderId="21" xfId="267" applyNumberFormat="1" applyFont="1" applyFill="1" applyBorder="1" applyAlignment="1" applyProtection="1">
      <alignment horizontal="right" vertical="center"/>
      <protection/>
    </xf>
    <xf numFmtId="49" fontId="5" fillId="51" borderId="20" xfId="262" applyNumberFormat="1" applyFont="1" applyFill="1" applyBorder="1" applyAlignment="1" applyProtection="1">
      <alignment vertical="center"/>
      <protection locked="0"/>
    </xf>
    <xf numFmtId="49" fontId="5" fillId="51" borderId="20" xfId="262" applyNumberFormat="1" applyFont="1" applyFill="1" applyBorder="1" applyAlignment="1" applyProtection="1">
      <alignment vertical="center" wrapText="1"/>
      <protection locked="0"/>
    </xf>
    <xf numFmtId="0" fontId="5" fillId="51" borderId="20" xfId="0" applyNumberFormat="1" applyFont="1" applyFill="1" applyBorder="1" applyAlignment="1" applyProtection="1">
      <alignment horizontal="left" vertical="center" wrapText="1"/>
      <protection/>
    </xf>
    <xf numFmtId="49" fontId="5" fillId="51" borderId="0" xfId="0" applyNumberFormat="1" applyFont="1" applyFill="1" applyAlignment="1">
      <alignment horizontal="left" vertical="center" wrapText="1"/>
    </xf>
    <xf numFmtId="0" fontId="5" fillId="51" borderId="21" xfId="0" applyNumberFormat="1" applyFont="1" applyFill="1" applyBorder="1" applyAlignment="1" applyProtection="1">
      <alignment horizontal="left" vertical="center" wrapText="1"/>
      <protection/>
    </xf>
    <xf numFmtId="49" fontId="4" fillId="51" borderId="20" xfId="0" applyNumberFormat="1" applyFont="1" applyFill="1" applyBorder="1" applyAlignment="1" applyProtection="1">
      <alignment horizontal="right" vertical="center"/>
      <protection/>
    </xf>
    <xf numFmtId="213" fontId="4" fillId="51" borderId="20" xfId="0" applyNumberFormat="1" applyFont="1" applyFill="1" applyBorder="1" applyAlignment="1" applyProtection="1">
      <alignment horizontal="right" vertical="center"/>
      <protection/>
    </xf>
    <xf numFmtId="49" fontId="4" fillId="51" borderId="20" xfId="276" applyNumberFormat="1" applyFont="1" applyFill="1" applyBorder="1" applyAlignment="1" applyProtection="1">
      <alignment horizontal="right" vertical="center"/>
      <protection/>
    </xf>
    <xf numFmtId="49" fontId="4" fillId="51" borderId="20" xfId="0" applyNumberFormat="1" applyFont="1" applyFill="1" applyBorder="1" applyAlignment="1">
      <alignment horizontal="right"/>
    </xf>
    <xf numFmtId="210" fontId="4" fillId="51" borderId="20" xfId="0" applyNumberFormat="1" applyFont="1" applyFill="1" applyBorder="1" applyAlignment="1">
      <alignment horizontal="right" vertical="center"/>
    </xf>
    <xf numFmtId="49" fontId="102" fillId="51" borderId="0" xfId="0" applyNumberFormat="1" applyFont="1" applyFill="1" applyBorder="1" applyAlignment="1">
      <alignment/>
    </xf>
    <xf numFmtId="0" fontId="147" fillId="50" borderId="20" xfId="0" applyFont="1" applyFill="1" applyBorder="1" applyAlignment="1" applyProtection="1">
      <alignment horizontal="center" vertical="center"/>
      <protection/>
    </xf>
    <xf numFmtId="0" fontId="147" fillId="50" borderId="20" xfId="266" applyFont="1" applyFill="1" applyBorder="1" applyAlignment="1">
      <alignment horizontal="left"/>
      <protection/>
    </xf>
    <xf numFmtId="210" fontId="148" fillId="50" borderId="20" xfId="95" applyNumberFormat="1" applyFont="1" applyFill="1" applyBorder="1" applyAlignment="1" applyProtection="1">
      <alignment horizontal="right"/>
      <protection locked="0"/>
    </xf>
    <xf numFmtId="210" fontId="147" fillId="50" borderId="20" xfId="268" applyNumberFormat="1" applyFont="1" applyFill="1" applyBorder="1" applyAlignment="1">
      <alignment horizontal="right"/>
      <protection/>
    </xf>
    <xf numFmtId="210" fontId="147" fillId="50" borderId="20" xfId="280" applyNumberFormat="1" applyFont="1" applyFill="1" applyBorder="1" applyAlignment="1">
      <alignment horizontal="right"/>
    </xf>
    <xf numFmtId="210" fontId="148" fillId="50" borderId="0" xfId="0" applyNumberFormat="1" applyFont="1" applyFill="1" applyAlignment="1">
      <alignment/>
    </xf>
    <xf numFmtId="49" fontId="148" fillId="50" borderId="0" xfId="0" applyNumberFormat="1" applyFont="1" applyFill="1" applyAlignment="1">
      <alignment/>
    </xf>
    <xf numFmtId="210" fontId="148" fillId="50" borderId="20" xfId="0" applyNumberFormat="1" applyFont="1" applyFill="1" applyBorder="1" applyAlignment="1" applyProtection="1">
      <alignment horizontal="right" vertical="center"/>
      <protection/>
    </xf>
    <xf numFmtId="0" fontId="8" fillId="51" borderId="20" xfId="0" applyFont="1" applyFill="1" applyBorder="1" applyAlignment="1" applyProtection="1">
      <alignment horizontal="center" vertical="center"/>
      <protection/>
    </xf>
    <xf numFmtId="49" fontId="8" fillId="51" borderId="20" xfId="267" applyNumberFormat="1" applyFont="1" applyFill="1" applyBorder="1" applyAlignment="1" applyProtection="1">
      <alignment horizontal="left" vertical="center"/>
      <protection/>
    </xf>
    <xf numFmtId="210" fontId="110" fillId="51" borderId="20" xfId="0" applyNumberFormat="1" applyFont="1" applyFill="1" applyBorder="1" applyAlignment="1" applyProtection="1">
      <alignment horizontal="right" vertical="center"/>
      <protection/>
    </xf>
    <xf numFmtId="210" fontId="24" fillId="51" borderId="20" xfId="0" applyNumberFormat="1" applyFont="1" applyFill="1" applyBorder="1" applyAlignment="1" applyProtection="1">
      <alignment horizontal="right" vertical="center"/>
      <protection/>
    </xf>
    <xf numFmtId="210" fontId="8" fillId="51" borderId="0" xfId="0" applyNumberFormat="1" applyFont="1" applyFill="1" applyAlignment="1">
      <alignment horizontal="right"/>
    </xf>
    <xf numFmtId="49" fontId="8" fillId="51" borderId="0" xfId="0" applyNumberFormat="1" applyFont="1" applyFill="1" applyAlignment="1">
      <alignment horizontal="left"/>
    </xf>
    <xf numFmtId="0" fontId="108" fillId="51" borderId="20" xfId="0" applyFont="1" applyFill="1" applyBorder="1" applyAlignment="1" applyProtection="1">
      <alignment horizontal="center" vertical="center"/>
      <protection/>
    </xf>
    <xf numFmtId="3" fontId="24" fillId="51" borderId="20" xfId="0" applyNumberFormat="1" applyFont="1" applyFill="1" applyBorder="1" applyAlignment="1" applyProtection="1">
      <alignment horizontal="right" vertical="center"/>
      <protection/>
    </xf>
    <xf numFmtId="49" fontId="8" fillId="51" borderId="20" xfId="0" applyNumberFormat="1" applyFont="1" applyFill="1" applyBorder="1" applyAlignment="1" applyProtection="1">
      <alignment horizontal="left" vertical="center"/>
      <protection/>
    </xf>
    <xf numFmtId="1" fontId="24" fillId="51" borderId="20" xfId="0" applyNumberFormat="1" applyFont="1" applyFill="1" applyBorder="1" applyAlignment="1" applyProtection="1">
      <alignment horizontal="center" vertical="center"/>
      <protection/>
    </xf>
    <xf numFmtId="1" fontId="24" fillId="51" borderId="20" xfId="276" applyNumberFormat="1" applyFont="1" applyFill="1" applyBorder="1" applyAlignment="1" applyProtection="1">
      <alignment horizontal="center" vertical="center"/>
      <protection/>
    </xf>
    <xf numFmtId="1" fontId="24" fillId="51" borderId="20" xfId="0" applyNumberFormat="1" applyFont="1" applyFill="1" applyBorder="1" applyAlignment="1" applyProtection="1">
      <alignment horizontal="center"/>
      <protection/>
    </xf>
    <xf numFmtId="1" fontId="24" fillId="51" borderId="20" xfId="276" applyNumberFormat="1" applyFont="1" applyFill="1" applyBorder="1" applyAlignment="1" applyProtection="1">
      <alignment horizontal="left" vertical="center"/>
      <protection/>
    </xf>
    <xf numFmtId="194" fontId="24" fillId="51" borderId="20" xfId="93" applyNumberFormat="1" applyFont="1" applyFill="1" applyBorder="1" applyAlignment="1" applyProtection="1">
      <alignment horizontal="center" vertical="center"/>
      <protection/>
    </xf>
    <xf numFmtId="0" fontId="8" fillId="51" borderId="20" xfId="0" applyFont="1" applyFill="1" applyBorder="1" applyAlignment="1" applyProtection="1">
      <alignment horizontal="left" vertical="center"/>
      <protection/>
    </xf>
    <xf numFmtId="194" fontId="24" fillId="51" borderId="20" xfId="93" applyNumberFormat="1" applyFont="1" applyFill="1" applyBorder="1" applyAlignment="1">
      <alignment horizontal="center"/>
    </xf>
    <xf numFmtId="0" fontId="8" fillId="51" borderId="20" xfId="266" applyFont="1" applyFill="1" applyBorder="1" applyAlignment="1">
      <alignment horizontal="left"/>
      <protection/>
    </xf>
    <xf numFmtId="3" fontId="24" fillId="51" borderId="20" xfId="280" applyNumberFormat="1" applyFont="1" applyFill="1" applyBorder="1" applyAlignment="1" applyProtection="1">
      <alignment horizontal="right" vertical="center"/>
      <protection/>
    </xf>
    <xf numFmtId="3" fontId="24" fillId="51" borderId="20" xfId="0" applyNumberFormat="1" applyFont="1" applyFill="1" applyBorder="1" applyAlignment="1">
      <alignment horizontal="right"/>
    </xf>
    <xf numFmtId="49" fontId="8" fillId="51" borderId="20" xfId="0" applyNumberFormat="1" applyFont="1" applyFill="1" applyBorder="1" applyAlignment="1" applyProtection="1">
      <alignment horizontal="center" vertical="center"/>
      <protection/>
    </xf>
    <xf numFmtId="194" fontId="24" fillId="51" borderId="20" xfId="0" applyNumberFormat="1" applyFont="1" applyFill="1" applyBorder="1" applyAlignment="1" applyProtection="1">
      <alignment horizontal="right" vertical="center" shrinkToFit="1"/>
      <protection/>
    </xf>
    <xf numFmtId="194" fontId="24" fillId="51" borderId="20" xfId="0" applyNumberFormat="1" applyFont="1" applyFill="1" applyBorder="1" applyAlignment="1" applyProtection="1">
      <alignment horizontal="right" vertical="center" shrinkToFit="1"/>
      <protection locked="0"/>
    </xf>
    <xf numFmtId="194" fontId="24" fillId="51" borderId="20" xfId="0" applyNumberFormat="1" applyFont="1" applyFill="1" applyBorder="1" applyAlignment="1">
      <alignment vertical="center" shrinkToFit="1"/>
    </xf>
    <xf numFmtId="194" fontId="24" fillId="51" borderId="20" xfId="276" applyNumberFormat="1" applyFont="1" applyFill="1" applyBorder="1" applyAlignment="1" applyProtection="1">
      <alignment horizontal="right" vertical="center" shrinkToFit="1"/>
      <protection/>
    </xf>
    <xf numFmtId="194" fontId="24" fillId="51" borderId="20" xfId="93" applyNumberFormat="1" applyFont="1" applyFill="1" applyBorder="1" applyAlignment="1" applyProtection="1">
      <alignment horizontal="left" vertical="center"/>
      <protection/>
    </xf>
    <xf numFmtId="194" fontId="24" fillId="51" borderId="20" xfId="93" applyNumberFormat="1" applyFont="1" applyFill="1" applyBorder="1" applyAlignment="1">
      <alignment horizontal="center" vertical="center"/>
    </xf>
    <xf numFmtId="194" fontId="24" fillId="51" borderId="20" xfId="93" applyNumberFormat="1" applyFont="1" applyFill="1" applyBorder="1" applyAlignment="1">
      <alignment vertical="center"/>
    </xf>
    <xf numFmtId="49" fontId="8" fillId="51" borderId="20" xfId="0" applyNumberFormat="1" applyFont="1" applyFill="1" applyBorder="1" applyAlignment="1" applyProtection="1">
      <alignment vertical="center"/>
      <protection/>
    </xf>
    <xf numFmtId="217" fontId="111" fillId="51" borderId="20" xfId="0" applyNumberFormat="1" applyFont="1" applyFill="1" applyBorder="1" applyAlignment="1" applyProtection="1">
      <alignment horizontal="center" vertical="center"/>
      <protection hidden="1"/>
    </xf>
    <xf numFmtId="217" fontId="111" fillId="51" borderId="20" xfId="276" applyNumberFormat="1" applyFont="1" applyFill="1" applyBorder="1" applyAlignment="1" applyProtection="1">
      <alignment horizontal="center" vertical="center"/>
      <protection hidden="1"/>
    </xf>
    <xf numFmtId="217" fontId="111" fillId="51" borderId="20" xfId="0" applyNumberFormat="1" applyFont="1" applyFill="1" applyBorder="1" applyAlignment="1" applyProtection="1">
      <alignment horizontal="center"/>
      <protection hidden="1"/>
    </xf>
    <xf numFmtId="3" fontId="24" fillId="51" borderId="20" xfId="262" applyNumberFormat="1" applyFont="1" applyFill="1" applyBorder="1" applyAlignment="1" applyProtection="1">
      <alignment horizontal="center" vertical="center"/>
      <protection locked="0"/>
    </xf>
    <xf numFmtId="210" fontId="24" fillId="51" borderId="20" xfId="0" applyNumberFormat="1" applyFont="1" applyFill="1" applyBorder="1" applyAlignment="1" applyProtection="1">
      <alignment horizontal="center"/>
      <protection/>
    </xf>
    <xf numFmtId="210" fontId="24" fillId="51" borderId="20" xfId="276" applyNumberFormat="1" applyFont="1" applyFill="1" applyBorder="1" applyAlignment="1" applyProtection="1">
      <alignment horizontal="center"/>
      <protection/>
    </xf>
    <xf numFmtId="210" fontId="24" fillId="51" borderId="20" xfId="0" applyNumberFormat="1" applyFont="1" applyFill="1" applyBorder="1" applyAlignment="1">
      <alignment horizontal="center"/>
    </xf>
    <xf numFmtId="3" fontId="24" fillId="51" borderId="20" xfId="267" applyNumberFormat="1" applyFont="1" applyFill="1" applyBorder="1" applyAlignment="1" applyProtection="1">
      <alignment horizontal="center" vertical="center"/>
      <protection/>
    </xf>
    <xf numFmtId="4" fontId="8" fillId="51" borderId="20" xfId="0" applyNumberFormat="1" applyFont="1" applyFill="1" applyBorder="1" applyAlignment="1" applyProtection="1">
      <alignment horizontal="center" vertical="center"/>
      <protection/>
    </xf>
    <xf numFmtId="3" fontId="8" fillId="51" borderId="20" xfId="0" applyNumberFormat="1" applyFont="1" applyFill="1" applyBorder="1" applyAlignment="1" applyProtection="1">
      <alignment vertical="center"/>
      <protection/>
    </xf>
    <xf numFmtId="3" fontId="8" fillId="51" borderId="21" xfId="0" applyNumberFormat="1" applyFont="1" applyFill="1" applyBorder="1" applyAlignment="1" applyProtection="1">
      <alignment vertical="center"/>
      <protection/>
    </xf>
    <xf numFmtId="3" fontId="24" fillId="51" borderId="21" xfId="267" applyNumberFormat="1" applyFont="1" applyFill="1" applyBorder="1" applyAlignment="1" applyProtection="1">
      <alignment horizontal="center" vertical="center"/>
      <protection/>
    </xf>
    <xf numFmtId="0" fontId="8" fillId="51" borderId="20" xfId="0" applyNumberFormat="1" applyFont="1" applyFill="1" applyBorder="1" applyAlignment="1" applyProtection="1">
      <alignment horizontal="left" vertical="center" wrapText="1"/>
      <protection/>
    </xf>
    <xf numFmtId="49" fontId="8" fillId="51" borderId="0" xfId="0" applyNumberFormat="1" applyFont="1" applyFill="1" applyAlignment="1">
      <alignment horizontal="left" vertical="center" wrapText="1"/>
    </xf>
    <xf numFmtId="0" fontId="8" fillId="51" borderId="21" xfId="0" applyNumberFormat="1" applyFont="1" applyFill="1" applyBorder="1" applyAlignment="1" applyProtection="1">
      <alignment horizontal="left" vertical="center" wrapText="1"/>
      <protection/>
    </xf>
    <xf numFmtId="3" fontId="110" fillId="51" borderId="20" xfId="0" applyNumberFormat="1" applyFont="1" applyFill="1" applyBorder="1" applyAlignment="1" applyProtection="1">
      <alignment horizontal="center" vertical="center"/>
      <protection/>
    </xf>
    <xf numFmtId="3" fontId="110" fillId="51" borderId="20" xfId="276" applyNumberFormat="1" applyFont="1" applyFill="1" applyBorder="1" applyAlignment="1" applyProtection="1">
      <alignment horizontal="center" vertical="center"/>
      <protection/>
    </xf>
    <xf numFmtId="3" fontId="110" fillId="51" borderId="26" xfId="276" applyNumberFormat="1" applyFont="1" applyFill="1" applyBorder="1" applyAlignment="1" applyProtection="1">
      <alignment horizontal="center" vertical="center"/>
      <protection/>
    </xf>
    <xf numFmtId="3" fontId="24" fillId="51" borderId="25" xfId="0" applyNumberFormat="1" applyFont="1" applyFill="1" applyBorder="1" applyAlignment="1">
      <alignment horizontal="center" vertical="center"/>
    </xf>
    <xf numFmtId="3" fontId="24" fillId="51" borderId="20" xfId="0" applyNumberFormat="1" applyFont="1" applyFill="1" applyBorder="1" applyAlignment="1" applyProtection="1">
      <alignment horizontal="center" vertical="center"/>
      <protection/>
    </xf>
    <xf numFmtId="3" fontId="24" fillId="51" borderId="20" xfId="276" applyNumberFormat="1" applyFont="1" applyFill="1" applyBorder="1" applyAlignment="1" applyProtection="1">
      <alignment horizontal="center" vertical="center"/>
      <protection/>
    </xf>
    <xf numFmtId="3" fontId="24" fillId="51" borderId="26" xfId="276" applyNumberFormat="1" applyFont="1" applyFill="1" applyBorder="1" applyAlignment="1" applyProtection="1">
      <alignment horizontal="center" vertical="center"/>
      <protection/>
    </xf>
    <xf numFmtId="210" fontId="24" fillId="51" borderId="20" xfId="0" applyNumberFormat="1" applyFont="1" applyFill="1" applyBorder="1" applyAlignment="1" applyProtection="1">
      <alignment horizontal="center" vertical="center"/>
      <protection/>
    </xf>
    <xf numFmtId="210" fontId="24" fillId="51" borderId="20" xfId="276" applyNumberFormat="1" applyFont="1" applyFill="1" applyBorder="1" applyAlignment="1" applyProtection="1">
      <alignment horizontal="center" vertical="center"/>
      <protection/>
    </xf>
    <xf numFmtId="210" fontId="24" fillId="51" borderId="20" xfId="0" applyNumberFormat="1" applyFont="1" applyFill="1" applyBorder="1" applyAlignment="1">
      <alignment horizontal="center" vertical="center"/>
    </xf>
    <xf numFmtId="3" fontId="8" fillId="50" borderId="20" xfId="280" applyNumberFormat="1" applyFont="1" applyFill="1" applyBorder="1" applyAlignment="1">
      <alignment horizontal="right"/>
    </xf>
    <xf numFmtId="3" fontId="8" fillId="0" borderId="20" xfId="0" applyNumberFormat="1" applyFont="1" applyFill="1" applyBorder="1" applyAlignment="1" applyProtection="1">
      <alignment vertical="center"/>
      <protection/>
    </xf>
    <xf numFmtId="3" fontId="8" fillId="0" borderId="20" xfId="276" applyNumberFormat="1" applyFont="1" applyFill="1" applyBorder="1" applyAlignment="1" applyProtection="1">
      <alignment vertical="center"/>
      <protection/>
    </xf>
    <xf numFmtId="3" fontId="8" fillId="0" borderId="20" xfId="0" applyNumberFormat="1" applyFont="1" applyFill="1" applyBorder="1" applyAlignment="1">
      <alignment/>
    </xf>
    <xf numFmtId="217" fontId="8" fillId="0" borderId="20" xfId="0" applyNumberFormat="1" applyFont="1" applyFill="1" applyBorder="1" applyAlignment="1" applyProtection="1">
      <alignment vertical="center"/>
      <protection hidden="1"/>
    </xf>
    <xf numFmtId="217" fontId="8" fillId="0" borderId="20" xfId="276" applyNumberFormat="1" applyFont="1" applyFill="1" applyBorder="1" applyAlignment="1" applyProtection="1">
      <alignment vertical="center"/>
      <protection hidden="1"/>
    </xf>
    <xf numFmtId="217" fontId="8" fillId="0" borderId="20" xfId="0" applyNumberFormat="1" applyFont="1" applyFill="1" applyBorder="1" applyAlignment="1" applyProtection="1">
      <alignment/>
      <protection hidden="1"/>
    </xf>
    <xf numFmtId="3" fontId="149" fillId="0" borderId="20" xfId="0" applyNumberFormat="1" applyFont="1" applyFill="1" applyBorder="1" applyAlignment="1" applyProtection="1">
      <alignment vertical="center"/>
      <protection/>
    </xf>
    <xf numFmtId="194" fontId="24" fillId="47" borderId="20" xfId="93" applyNumberFormat="1" applyFont="1" applyFill="1" applyBorder="1" applyAlignment="1" applyProtection="1">
      <alignment vertical="center"/>
      <protection/>
    </xf>
    <xf numFmtId="210" fontId="24" fillId="47" borderId="20" xfId="267" applyNumberFormat="1" applyFont="1" applyFill="1" applyBorder="1" applyAlignment="1" applyProtection="1">
      <alignment horizontal="center" vertical="center"/>
      <protection/>
    </xf>
    <xf numFmtId="3" fontId="24" fillId="47" borderId="20" xfId="263" applyNumberFormat="1" applyFont="1" applyFill="1" applyBorder="1" applyAlignment="1" applyProtection="1">
      <alignment horizontal="center" vertical="center"/>
      <protection locked="0"/>
    </xf>
    <xf numFmtId="210" fontId="24" fillId="47" borderId="20" xfId="267" applyNumberFormat="1" applyFont="1" applyFill="1" applyBorder="1" applyAlignment="1" applyProtection="1">
      <alignment horizontal="center"/>
      <protection/>
    </xf>
    <xf numFmtId="3" fontId="109" fillId="50" borderId="20" xfId="0" applyNumberFormat="1" applyFont="1" applyFill="1" applyBorder="1" applyAlignment="1" applyProtection="1">
      <alignment horizontal="right" vertical="center"/>
      <protection/>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66" fillId="0" borderId="0" xfId="264" applyNumberFormat="1" applyFont="1" applyBorder="1" applyAlignment="1">
      <alignment horizontal="center" wrapText="1"/>
      <protection/>
    </xf>
    <xf numFmtId="49" fontId="41" fillId="0" borderId="0" xfId="264" applyNumberFormat="1" applyFont="1" applyBorder="1" applyAlignment="1">
      <alignment horizontal="center" wrapText="1"/>
      <protection/>
    </xf>
    <xf numFmtId="49" fontId="7" fillId="0" borderId="26" xfId="264" applyNumberFormat="1" applyFont="1" applyBorder="1" applyAlignment="1">
      <alignment horizontal="center" vertical="center" wrapText="1"/>
      <protection/>
    </xf>
    <xf numFmtId="49" fontId="7" fillId="0" borderId="41" xfId="264" applyNumberFormat="1" applyFont="1" applyBorder="1" applyAlignment="1">
      <alignment horizontal="center" vertical="center" wrapText="1"/>
      <protection/>
    </xf>
    <xf numFmtId="49" fontId="7" fillId="0" borderId="25" xfId="264" applyNumberFormat="1" applyFont="1" applyBorder="1" applyAlignment="1">
      <alignment horizontal="center" vertical="center" wrapText="1"/>
      <protection/>
    </xf>
    <xf numFmtId="49" fontId="7" fillId="0" borderId="26" xfId="264" applyNumberFormat="1" applyFont="1" applyFill="1" applyBorder="1" applyAlignment="1">
      <alignment horizontal="center" vertical="center" wrapText="1"/>
      <protection/>
    </xf>
    <xf numFmtId="49" fontId="28" fillId="0" borderId="25" xfId="264" applyNumberFormat="1" applyFont="1" applyFill="1" applyBorder="1" applyAlignment="1">
      <alignment horizontal="center" vertical="center" wrapText="1"/>
      <protection/>
    </xf>
    <xf numFmtId="49" fontId="29" fillId="0" borderId="0" xfId="264" applyNumberFormat="1" applyFont="1" applyAlignment="1">
      <alignment horizontal="center" wrapText="1"/>
      <protection/>
    </xf>
    <xf numFmtId="49" fontId="25" fillId="0" borderId="0" xfId="264" applyNumberFormat="1" applyFont="1" applyAlignment="1">
      <alignment horizontal="center"/>
      <protection/>
    </xf>
    <xf numFmtId="0" fontId="16" fillId="0" borderId="20" xfId="264" applyNumberFormat="1" applyFont="1" applyBorder="1" applyAlignment="1">
      <alignment horizontal="center" vertical="center" wrapText="1"/>
      <protection/>
    </xf>
    <xf numFmtId="49" fontId="7" fillId="44" borderId="26" xfId="264" applyNumberFormat="1" applyFont="1" applyFill="1" applyBorder="1" applyAlignment="1">
      <alignment horizontal="center" vertical="center"/>
      <protection/>
    </xf>
    <xf numFmtId="49" fontId="7" fillId="44" borderId="25" xfId="264" applyNumberFormat="1" applyFont="1" applyFill="1" applyBorder="1" applyAlignment="1">
      <alignment horizontal="center" vertical="center"/>
      <protection/>
    </xf>
    <xf numFmtId="49" fontId="32" fillId="0" borderId="0" xfId="264" applyNumberFormat="1" applyFont="1" applyBorder="1" applyAlignment="1">
      <alignment horizontal="center" wrapText="1"/>
      <protection/>
    </xf>
    <xf numFmtId="49" fontId="25" fillId="0" borderId="0" xfId="264" applyNumberFormat="1" applyFont="1" applyBorder="1" applyAlignment="1">
      <alignment horizontal="center" wrapText="1"/>
      <protection/>
    </xf>
    <xf numFmtId="0" fontId="56" fillId="3" borderId="26" xfId="264" applyNumberFormat="1" applyFont="1" applyFill="1" applyBorder="1" applyAlignment="1">
      <alignment horizontal="center" vertical="center" wrapText="1"/>
      <protection/>
    </xf>
    <xf numFmtId="0" fontId="56" fillId="3" borderId="25" xfId="264" applyNumberFormat="1" applyFont="1" applyFill="1" applyBorder="1" applyAlignment="1">
      <alignment horizontal="center" vertical="center" wrapText="1"/>
      <protection/>
    </xf>
    <xf numFmtId="49" fontId="34" fillId="0" borderId="0" xfId="264" applyNumberFormat="1" applyFont="1" applyAlignment="1">
      <alignment horizontal="center"/>
      <protection/>
    </xf>
    <xf numFmtId="49" fontId="0" fillId="0" borderId="0" xfId="264" applyNumberFormat="1" applyFont="1" applyAlignment="1">
      <alignment horizontal="left"/>
      <protection/>
    </xf>
    <xf numFmtId="49" fontId="7" fillId="0" borderId="20" xfId="264" applyNumberFormat="1" applyFont="1" applyFill="1" applyBorder="1" applyAlignment="1">
      <alignment horizontal="center" vertical="center" wrapText="1"/>
      <protection/>
    </xf>
    <xf numFmtId="49" fontId="18" fillId="0" borderId="0" xfId="264" applyNumberFormat="1" applyFont="1" applyAlignment="1">
      <alignment horizontal="left"/>
      <protection/>
    </xf>
    <xf numFmtId="0" fontId="7" fillId="0" borderId="35" xfId="264" applyNumberFormat="1" applyFont="1" applyBorder="1" applyAlignment="1">
      <alignment horizontal="center" vertical="center" wrapText="1"/>
      <protection/>
    </xf>
    <xf numFmtId="0" fontId="7" fillId="0" borderId="36" xfId="264" applyNumberFormat="1" applyFont="1" applyBorder="1" applyAlignment="1">
      <alignment horizontal="center" vertical="center" wrapText="1"/>
      <protection/>
    </xf>
    <xf numFmtId="0" fontId="7" fillId="0" borderId="24" xfId="264" applyNumberFormat="1" applyFont="1" applyBorder="1" applyAlignment="1">
      <alignment horizontal="center" vertical="center" wrapText="1"/>
      <protection/>
    </xf>
    <xf numFmtId="0" fontId="7" fillId="0" borderId="40" xfId="264" applyNumberFormat="1" applyFont="1" applyBorder="1" applyAlignment="1">
      <alignment horizontal="center" vertical="center" wrapText="1"/>
      <protection/>
    </xf>
    <xf numFmtId="49" fontId="0" fillId="3" borderId="35" xfId="264" applyNumberFormat="1" applyFont="1" applyFill="1" applyBorder="1" applyAlignment="1">
      <alignment horizontal="center"/>
      <protection/>
    </xf>
    <xf numFmtId="49" fontId="0" fillId="3" borderId="19" xfId="264" applyNumberFormat="1" applyFont="1" applyFill="1" applyBorder="1" applyAlignment="1">
      <alignment horizontal="center"/>
      <protection/>
    </xf>
    <xf numFmtId="49" fontId="0" fillId="3" borderId="36" xfId="264" applyNumberFormat="1" applyFont="1" applyFill="1" applyBorder="1" applyAlignment="1">
      <alignment horizontal="center"/>
      <protection/>
    </xf>
    <xf numFmtId="3" fontId="35" fillId="47" borderId="38" xfId="264" applyNumberFormat="1" applyFont="1" applyFill="1" applyBorder="1" applyAlignment="1" applyProtection="1">
      <alignment horizontal="center" vertical="center" wrapText="1"/>
      <protection/>
    </xf>
    <xf numFmtId="3" fontId="35" fillId="47" borderId="23" xfId="264" applyNumberFormat="1" applyFont="1" applyFill="1" applyBorder="1" applyAlignment="1" applyProtection="1">
      <alignment horizontal="center" vertical="center" wrapText="1"/>
      <protection/>
    </xf>
    <xf numFmtId="49" fontId="7" fillId="0" borderId="20" xfId="264" applyNumberFormat="1" applyFont="1" applyFill="1" applyBorder="1" applyAlignment="1" applyProtection="1">
      <alignment horizontal="center" vertical="center" wrapText="1"/>
      <protection/>
    </xf>
    <xf numFmtId="3" fontId="7" fillId="47" borderId="21" xfId="264" applyNumberFormat="1" applyFont="1" applyFill="1" applyBorder="1" applyAlignment="1" applyProtection="1">
      <alignment horizontal="center" vertical="center" wrapText="1"/>
      <protection/>
    </xf>
    <xf numFmtId="3" fontId="7" fillId="47" borderId="23" xfId="264" applyNumberFormat="1" applyFont="1" applyFill="1" applyBorder="1" applyAlignment="1" applyProtection="1">
      <alignment horizontal="center" vertical="center" wrapText="1"/>
      <protection/>
    </xf>
    <xf numFmtId="49" fontId="14" fillId="47" borderId="0" xfId="264" applyNumberFormat="1" applyFont="1" applyFill="1" applyAlignment="1">
      <alignment horizontal="center" vertical="center" wrapText="1"/>
      <protection/>
    </xf>
    <xf numFmtId="49" fontId="3" fillId="0" borderId="0" xfId="264" applyNumberFormat="1" applyFont="1" applyAlignment="1">
      <alignment horizontal="left"/>
      <protection/>
    </xf>
    <xf numFmtId="49" fontId="3" fillId="0" borderId="0" xfId="264" applyNumberFormat="1" applyFont="1" applyBorder="1" applyAlignment="1">
      <alignment horizontal="left" wrapText="1"/>
      <protection/>
    </xf>
    <xf numFmtId="49" fontId="0" fillId="0" borderId="0" xfId="264" applyNumberFormat="1" applyFont="1" applyBorder="1" applyAlignment="1">
      <alignment horizontal="left" wrapText="1"/>
      <protection/>
    </xf>
    <xf numFmtId="49" fontId="18" fillId="0" borderId="22" xfId="264" applyNumberFormat="1" applyFont="1" applyFill="1" applyBorder="1" applyAlignment="1">
      <alignment horizontal="center" vertical="center"/>
      <protection/>
    </xf>
    <xf numFmtId="0" fontId="25" fillId="0" borderId="0" xfId="264" applyFont="1" applyAlignment="1">
      <alignment horizontal="center"/>
      <protection/>
    </xf>
    <xf numFmtId="49" fontId="25" fillId="47" borderId="0" xfId="264" applyNumberFormat="1" applyFont="1" applyFill="1" applyAlignment="1">
      <alignment horizontal="center"/>
      <protection/>
    </xf>
    <xf numFmtId="49" fontId="7" fillId="0" borderId="25" xfId="264" applyNumberFormat="1" applyFont="1" applyFill="1" applyBorder="1" applyAlignment="1">
      <alignment horizontal="center" vertical="center" wrapText="1"/>
      <protection/>
    </xf>
    <xf numFmtId="0" fontId="57" fillId="3" borderId="26" xfId="264" applyNumberFormat="1" applyFont="1" applyFill="1" applyBorder="1" applyAlignment="1">
      <alignment horizontal="center" vertical="center" wrapText="1"/>
      <protection/>
    </xf>
    <xf numFmtId="0" fontId="57" fillId="3" borderId="25" xfId="264" applyNumberFormat="1" applyFont="1" applyFill="1" applyBorder="1" applyAlignment="1">
      <alignment horizontal="center" vertical="center" wrapText="1"/>
      <protection/>
    </xf>
    <xf numFmtId="49" fontId="3" fillId="0" borderId="0" xfId="264" applyNumberFormat="1" applyFont="1" applyFill="1" applyAlignment="1">
      <alignment horizontal="left"/>
      <protection/>
    </xf>
    <xf numFmtId="49" fontId="6" fillId="0" borderId="20" xfId="264" applyNumberFormat="1" applyFont="1" applyFill="1" applyBorder="1" applyAlignment="1">
      <alignment horizontal="center" vertical="center" wrapText="1"/>
      <protection/>
    </xf>
    <xf numFmtId="49" fontId="6" fillId="0" borderId="26" xfId="264" applyNumberFormat="1" applyFont="1" applyFill="1" applyBorder="1" applyAlignment="1">
      <alignment horizontal="center" vertical="center" wrapText="1"/>
      <protection/>
    </xf>
    <xf numFmtId="49" fontId="6" fillId="0" borderId="41" xfId="264" applyNumberFormat="1" applyFont="1" applyFill="1" applyBorder="1" applyAlignment="1">
      <alignment horizontal="center" vertical="center" wrapText="1"/>
      <protection/>
    </xf>
    <xf numFmtId="49" fontId="6" fillId="0" borderId="25" xfId="264" applyNumberFormat="1" applyFont="1" applyFill="1" applyBorder="1" applyAlignment="1">
      <alignment horizontal="center" vertical="center" wrapText="1"/>
      <protection/>
    </xf>
    <xf numFmtId="49" fontId="18" fillId="0" borderId="0" xfId="264" applyNumberFormat="1" applyFont="1" applyFill="1" applyBorder="1" applyAlignment="1">
      <alignment horizontal="left"/>
      <protection/>
    </xf>
    <xf numFmtId="49" fontId="0" fillId="0" borderId="0" xfId="264" applyNumberFormat="1" applyFont="1" applyFill="1" applyAlignment="1">
      <alignment horizontal="justify" wrapText="1"/>
      <protection/>
    </xf>
    <xf numFmtId="49" fontId="3" fillId="0" borderId="0" xfId="264" applyNumberFormat="1" applyFont="1" applyFill="1" applyAlignment="1">
      <alignment horizontal="center" vertical="top" wrapText="1"/>
      <protection/>
    </xf>
    <xf numFmtId="49" fontId="7" fillId="44" borderId="26" xfId="264" applyNumberFormat="1" applyFont="1" applyFill="1" applyBorder="1" applyAlignment="1">
      <alignment horizontal="center"/>
      <protection/>
    </xf>
    <xf numFmtId="49" fontId="7" fillId="44" borderId="25" xfId="264" applyNumberFormat="1" applyFont="1" applyFill="1" applyBorder="1" applyAlignment="1">
      <alignment horizontal="center"/>
      <protection/>
    </xf>
    <xf numFmtId="49" fontId="21" fillId="0" borderId="26" xfId="264" applyNumberFormat="1" applyFont="1" applyFill="1" applyBorder="1" applyAlignment="1">
      <alignment horizontal="center" vertical="center" wrapText="1"/>
      <protection/>
    </xf>
    <xf numFmtId="49" fontId="21" fillId="0" borderId="25" xfId="264" applyNumberFormat="1" applyFont="1" applyFill="1" applyBorder="1" applyAlignment="1">
      <alignment horizontal="center" vertical="center" wrapText="1"/>
      <protection/>
    </xf>
    <xf numFmtId="0" fontId="6" fillId="0" borderId="35" xfId="264" applyNumberFormat="1" applyFont="1" applyFill="1" applyBorder="1" applyAlignment="1">
      <alignment horizontal="center" vertical="center" wrapText="1"/>
      <protection/>
    </xf>
    <xf numFmtId="0" fontId="6" fillId="0" borderId="36" xfId="264" applyNumberFormat="1" applyFont="1" applyFill="1" applyBorder="1" applyAlignment="1">
      <alignment horizontal="center" vertical="center" wrapText="1"/>
      <protection/>
    </xf>
    <xf numFmtId="0" fontId="6" fillId="0" borderId="24" xfId="264" applyNumberFormat="1" applyFont="1" applyFill="1" applyBorder="1" applyAlignment="1">
      <alignment horizontal="center" vertical="center" wrapText="1"/>
      <protection/>
    </xf>
    <xf numFmtId="0" fontId="6" fillId="0" borderId="40" xfId="264" applyNumberFormat="1" applyFont="1" applyFill="1" applyBorder="1" applyAlignment="1">
      <alignment horizontal="center" vertical="center" wrapText="1"/>
      <protection/>
    </xf>
    <xf numFmtId="0" fontId="6" fillId="0" borderId="27" xfId="264" applyNumberFormat="1" applyFont="1" applyFill="1" applyBorder="1" applyAlignment="1">
      <alignment horizontal="center" vertical="center" wrapText="1"/>
      <protection/>
    </xf>
    <xf numFmtId="0" fontId="6" fillId="0" borderId="37" xfId="264" applyNumberFormat="1" applyFont="1" applyFill="1" applyBorder="1" applyAlignment="1">
      <alignment horizontal="center" vertical="center" wrapText="1"/>
      <protection/>
    </xf>
    <xf numFmtId="49" fontId="6" fillId="0" borderId="38" xfId="264" applyNumberFormat="1" applyFont="1" applyFill="1" applyBorder="1" applyAlignment="1">
      <alignment horizontal="center" vertical="center" wrapText="1"/>
      <protection/>
    </xf>
    <xf numFmtId="49" fontId="6" fillId="0" borderId="23" xfId="264" applyNumberFormat="1" applyFont="1" applyFill="1" applyBorder="1" applyAlignment="1">
      <alignment horizontal="center" vertical="center" wrapText="1"/>
      <protection/>
    </xf>
    <xf numFmtId="49" fontId="69" fillId="3" borderId="26" xfId="264" applyNumberFormat="1" applyFont="1" applyFill="1" applyBorder="1" applyAlignment="1">
      <alignment horizontal="center" vertical="center" wrapText="1"/>
      <protection/>
    </xf>
    <xf numFmtId="49" fontId="69" fillId="3" borderId="25" xfId="264" applyNumberFormat="1" applyFont="1" applyFill="1" applyBorder="1" applyAlignment="1">
      <alignment horizontal="center" vertical="center" wrapText="1"/>
      <protection/>
    </xf>
    <xf numFmtId="49" fontId="68" fillId="3" borderId="26" xfId="264" applyNumberFormat="1" applyFont="1" applyFill="1" applyBorder="1" applyAlignment="1">
      <alignment horizontal="center" vertical="center" wrapText="1"/>
      <protection/>
    </xf>
    <xf numFmtId="49" fontId="68" fillId="3" borderId="25" xfId="264" applyNumberFormat="1" applyFont="1" applyFill="1" applyBorder="1" applyAlignment="1">
      <alignment horizontal="center" vertical="center" wrapText="1"/>
      <protection/>
    </xf>
    <xf numFmtId="49" fontId="3" fillId="0" borderId="20" xfId="264" applyNumberFormat="1" applyFont="1" applyFill="1" applyBorder="1" applyAlignment="1">
      <alignment horizontal="center"/>
      <protection/>
    </xf>
    <xf numFmtId="49" fontId="0" fillId="0" borderId="0" xfId="264" applyNumberFormat="1" applyFont="1" applyFill="1" applyBorder="1" applyAlignment="1">
      <alignment horizontal="left"/>
      <protection/>
    </xf>
    <xf numFmtId="49" fontId="3" fillId="0" borderId="0" xfId="264" applyNumberFormat="1" applyFont="1" applyFill="1" applyBorder="1" applyAlignment="1">
      <alignment horizontal="left"/>
      <protection/>
    </xf>
    <xf numFmtId="49" fontId="3" fillId="0" borderId="0" xfId="264" applyNumberFormat="1" applyFont="1" applyFill="1" applyBorder="1" applyAlignment="1">
      <alignment horizontal="left" wrapText="1"/>
      <protection/>
    </xf>
    <xf numFmtId="49" fontId="0" fillId="0" borderId="0" xfId="264" applyNumberFormat="1" applyFont="1" applyFill="1" applyBorder="1" applyAlignment="1">
      <alignment horizontal="left" wrapText="1"/>
      <protection/>
    </xf>
    <xf numFmtId="49" fontId="6" fillId="0" borderId="22" xfId="264" applyNumberFormat="1" applyFont="1" applyFill="1" applyBorder="1" applyAlignment="1">
      <alignment horizontal="center" vertical="center" wrapText="1"/>
      <protection/>
    </xf>
    <xf numFmtId="49" fontId="15" fillId="0" borderId="0" xfId="264" applyNumberFormat="1" applyFont="1" applyFill="1" applyBorder="1" applyAlignment="1">
      <alignment horizontal="center" vertical="center" wrapText="1"/>
      <protection/>
    </xf>
    <xf numFmtId="49" fontId="13" fillId="0" borderId="0" xfId="264" applyNumberFormat="1" applyFont="1" applyFill="1" applyAlignment="1">
      <alignment horizontal="left" wrapText="1"/>
      <protection/>
    </xf>
    <xf numFmtId="49" fontId="13" fillId="0" borderId="0" xfId="264" applyNumberFormat="1" applyFont="1" applyFill="1" applyAlignment="1">
      <alignment horizontal="center" wrapText="1"/>
      <protection/>
    </xf>
    <xf numFmtId="0" fontId="3" fillId="0" borderId="0" xfId="264" applyFont="1" applyAlignment="1">
      <alignment horizontal="center"/>
      <protection/>
    </xf>
    <xf numFmtId="49" fontId="3" fillId="47" borderId="0" xfId="264" applyNumberFormat="1" applyFont="1" applyFill="1" applyAlignment="1">
      <alignment horizontal="center"/>
      <protection/>
    </xf>
    <xf numFmtId="49" fontId="23" fillId="0" borderId="0" xfId="264" applyNumberFormat="1" applyFont="1" applyFill="1" applyBorder="1" applyAlignment="1">
      <alignment horizontal="center" wrapText="1"/>
      <protection/>
    </xf>
    <xf numFmtId="49" fontId="15" fillId="0" borderId="0" xfId="264" applyNumberFormat="1" applyFont="1" applyFill="1" applyBorder="1" applyAlignment="1">
      <alignment horizontal="center" wrapText="1"/>
      <protection/>
    </xf>
    <xf numFmtId="49" fontId="72" fillId="0" borderId="0" xfId="264" applyNumberFormat="1" applyFont="1" applyFill="1" applyAlignment="1">
      <alignment horizontal="center"/>
      <protection/>
    </xf>
    <xf numFmtId="49" fontId="18" fillId="0" borderId="0" xfId="264" applyNumberFormat="1" applyFont="1" applyFill="1" applyAlignment="1">
      <alignment horizontal="center"/>
      <protection/>
    </xf>
    <xf numFmtId="49" fontId="3" fillId="0" borderId="20" xfId="264" applyNumberFormat="1" applyFont="1" applyFill="1" applyBorder="1" applyAlignment="1">
      <alignment horizontal="center" vertical="center" wrapText="1"/>
      <protection/>
    </xf>
    <xf numFmtId="49" fontId="20" fillId="0" borderId="20" xfId="264" applyNumberFormat="1" applyFont="1" applyFill="1" applyBorder="1" applyAlignment="1">
      <alignment horizontal="center" vertical="center" wrapText="1"/>
      <protection/>
    </xf>
    <xf numFmtId="49" fontId="3" fillId="0" borderId="20" xfId="264" applyNumberFormat="1" applyFont="1" applyBorder="1" applyAlignment="1">
      <alignment horizontal="center"/>
      <protection/>
    </xf>
    <xf numFmtId="49" fontId="14" fillId="0" borderId="0" xfId="264" applyNumberFormat="1" applyFont="1" applyAlignment="1">
      <alignment horizontal="center" wrapText="1"/>
      <protection/>
    </xf>
    <xf numFmtId="49" fontId="18" fillId="0" borderId="22" xfId="264" applyNumberFormat="1" applyFont="1" applyBorder="1" applyAlignment="1">
      <alignment horizontal="left"/>
      <protection/>
    </xf>
    <xf numFmtId="49" fontId="18" fillId="0" borderId="0" xfId="264" applyNumberFormat="1" applyFont="1" applyAlignment="1">
      <alignment horizontal="center"/>
      <protection/>
    </xf>
    <xf numFmtId="49" fontId="18" fillId="0" borderId="0" xfId="264" applyNumberFormat="1" applyFont="1" applyBorder="1" applyAlignment="1">
      <alignment horizontal="left"/>
      <protection/>
    </xf>
    <xf numFmtId="49" fontId="0" fillId="0" borderId="0" xfId="264" applyNumberFormat="1" applyFont="1" applyAlignment="1">
      <alignment horizontal="left" wrapText="1"/>
      <protection/>
    </xf>
    <xf numFmtId="49" fontId="3" fillId="0" borderId="0" xfId="264" applyNumberFormat="1" applyFont="1" applyAlignment="1">
      <alignment horizontal="left" wrapText="1"/>
      <protection/>
    </xf>
    <xf numFmtId="49" fontId="0" fillId="0" borderId="0" xfId="264" applyNumberFormat="1" applyFont="1" applyAlignment="1">
      <alignment/>
      <protection/>
    </xf>
    <xf numFmtId="49" fontId="32" fillId="0" borderId="0" xfId="264" applyNumberFormat="1" applyFont="1" applyBorder="1" applyAlignment="1">
      <alignment horizontal="center"/>
      <protection/>
    </xf>
    <xf numFmtId="49" fontId="25" fillId="0" borderId="0" xfId="264" applyNumberFormat="1" applyFont="1" applyBorder="1" applyAlignment="1">
      <alignment horizontal="center"/>
      <protection/>
    </xf>
    <xf numFmtId="49" fontId="7" fillId="0" borderId="35" xfId="264" applyNumberFormat="1" applyFont="1" applyFill="1" applyBorder="1" applyAlignment="1">
      <alignment horizontal="center" vertical="center" wrapText="1"/>
      <protection/>
    </xf>
    <xf numFmtId="49" fontId="7" fillId="0" borderId="36" xfId="264" applyNumberFormat="1" applyFont="1" applyFill="1" applyBorder="1" applyAlignment="1">
      <alignment horizontal="center" vertical="center" wrapText="1"/>
      <protection/>
    </xf>
    <xf numFmtId="49" fontId="7" fillId="0" borderId="24" xfId="264" applyNumberFormat="1" applyFont="1" applyFill="1" applyBorder="1" applyAlignment="1">
      <alignment horizontal="center" vertical="center" wrapText="1"/>
      <protection/>
    </xf>
    <xf numFmtId="49" fontId="7" fillId="0" borderId="40" xfId="264" applyNumberFormat="1" applyFont="1" applyFill="1" applyBorder="1" applyAlignment="1">
      <alignment horizontal="center" vertical="center" wrapText="1"/>
      <protection/>
    </xf>
    <xf numFmtId="49" fontId="7" fillId="0" borderId="27" xfId="264" applyNumberFormat="1" applyFont="1" applyFill="1" applyBorder="1" applyAlignment="1">
      <alignment horizontal="center" vertical="center" wrapText="1"/>
      <protection/>
    </xf>
    <xf numFmtId="49" fontId="7" fillId="0" borderId="37" xfId="264" applyNumberFormat="1" applyFont="1" applyFill="1" applyBorder="1" applyAlignment="1">
      <alignment horizontal="center" vertical="center" wrapText="1"/>
      <protection/>
    </xf>
    <xf numFmtId="49" fontId="57" fillId="3" borderId="26" xfId="264" applyNumberFormat="1" applyFont="1" applyFill="1" applyBorder="1" applyAlignment="1">
      <alignment horizontal="center" wrapText="1"/>
      <protection/>
    </xf>
    <xf numFmtId="49" fontId="57" fillId="3" borderId="25" xfId="264" applyNumberFormat="1" applyFont="1" applyFill="1" applyBorder="1" applyAlignment="1">
      <alignment horizontal="center" wrapText="1"/>
      <protection/>
    </xf>
    <xf numFmtId="49" fontId="56" fillId="3" borderId="26" xfId="264" applyNumberFormat="1" applyFont="1" applyFill="1" applyBorder="1" applyAlignment="1">
      <alignment horizontal="center" wrapText="1"/>
      <protection/>
    </xf>
    <xf numFmtId="49" fontId="56" fillId="3" borderId="25" xfId="264" applyNumberFormat="1" applyFont="1" applyFill="1" applyBorder="1" applyAlignment="1">
      <alignment horizontal="center" wrapText="1"/>
      <protection/>
    </xf>
    <xf numFmtId="49" fontId="13" fillId="0" borderId="0" xfId="264" applyNumberFormat="1" applyFont="1" applyBorder="1" applyAlignment="1">
      <alignment wrapText="1"/>
      <protection/>
    </xf>
    <xf numFmtId="49" fontId="13" fillId="0" borderId="0" xfId="264" applyNumberFormat="1" applyFont="1" applyBorder="1" applyAlignment="1">
      <alignment horizontal="center" wrapText="1"/>
      <protection/>
    </xf>
    <xf numFmtId="49" fontId="7" fillId="44" borderId="26" xfId="264" applyNumberFormat="1" applyFont="1" applyFill="1" applyBorder="1" applyAlignment="1">
      <alignment horizontal="center" vertical="center" wrapText="1"/>
      <protection/>
    </xf>
    <xf numFmtId="49" fontId="7" fillId="44" borderId="25" xfId="264" applyNumberFormat="1" applyFont="1" applyFill="1" applyBorder="1" applyAlignment="1">
      <alignment horizontal="center" vertical="center" wrapText="1"/>
      <protection/>
    </xf>
    <xf numFmtId="49" fontId="16" fillId="0" borderId="26" xfId="264" applyNumberFormat="1" applyFont="1" applyBorder="1" applyAlignment="1">
      <alignment horizontal="center" wrapText="1"/>
      <protection/>
    </xf>
    <xf numFmtId="49" fontId="16" fillId="0" borderId="25" xfId="264" applyNumberFormat="1" applyFont="1" applyBorder="1" applyAlignment="1">
      <alignment horizontal="center" wrapText="1"/>
      <protection/>
    </xf>
    <xf numFmtId="49" fontId="29" fillId="0" borderId="0" xfId="264" applyNumberFormat="1" applyFont="1" applyBorder="1" applyAlignment="1">
      <alignment horizontal="center" wrapText="1"/>
      <protection/>
    </xf>
    <xf numFmtId="49" fontId="29" fillId="0" borderId="0" xfId="264" applyNumberFormat="1" applyFont="1" applyAlignment="1">
      <alignment horizontal="center"/>
      <protection/>
    </xf>
    <xf numFmtId="49" fontId="6" fillId="0" borderId="20" xfId="266" applyNumberFormat="1" applyFont="1" applyFill="1" applyBorder="1" applyAlignment="1">
      <alignment horizontal="center" vertical="center" wrapText="1"/>
      <protection/>
    </xf>
    <xf numFmtId="49" fontId="86" fillId="3" borderId="26" xfId="266" applyNumberFormat="1" applyFont="1" applyFill="1" applyBorder="1" applyAlignment="1">
      <alignment horizontal="center" vertical="center" wrapText="1"/>
      <protection/>
    </xf>
    <xf numFmtId="49" fontId="86" fillId="3" borderId="25" xfId="266" applyNumberFormat="1" applyFont="1" applyFill="1" applyBorder="1" applyAlignment="1">
      <alignment horizontal="center" vertical="center" wrapText="1"/>
      <protection/>
    </xf>
    <xf numFmtId="49" fontId="6" fillId="0" borderId="25" xfId="266" applyNumberFormat="1" applyFont="1" applyFill="1" applyBorder="1" applyAlignment="1">
      <alignment horizontal="center" vertical="center" wrapText="1"/>
      <protection/>
    </xf>
    <xf numFmtId="49" fontId="3" fillId="0" borderId="0" xfId="266" applyNumberFormat="1" applyFont="1" applyBorder="1" applyAlignment="1">
      <alignment horizontal="left"/>
      <protection/>
    </xf>
    <xf numFmtId="49" fontId="6" fillId="0" borderId="35" xfId="266" applyNumberFormat="1" applyFont="1" applyFill="1" applyBorder="1" applyAlignment="1">
      <alignment horizontal="center" vertical="center"/>
      <protection/>
    </xf>
    <xf numFmtId="49" fontId="6" fillId="0" borderId="36" xfId="266" applyNumberFormat="1" applyFont="1" applyFill="1" applyBorder="1" applyAlignment="1">
      <alignment horizontal="center" vertical="center"/>
      <protection/>
    </xf>
    <xf numFmtId="49" fontId="6" fillId="0" borderId="24" xfId="266" applyNumberFormat="1" applyFont="1" applyFill="1" applyBorder="1" applyAlignment="1">
      <alignment horizontal="center" vertical="center"/>
      <protection/>
    </xf>
    <xf numFmtId="49" fontId="6" fillId="0" borderId="40" xfId="266" applyNumberFormat="1" applyFont="1" applyFill="1" applyBorder="1" applyAlignment="1">
      <alignment horizontal="center" vertical="center"/>
      <protection/>
    </xf>
    <xf numFmtId="49" fontId="6" fillId="0" borderId="27" xfId="266" applyNumberFormat="1" applyFont="1" applyFill="1" applyBorder="1" applyAlignment="1">
      <alignment horizontal="center" vertical="center"/>
      <protection/>
    </xf>
    <xf numFmtId="49" fontId="6" fillId="0" borderId="37" xfId="266" applyNumberFormat="1" applyFont="1" applyFill="1" applyBorder="1" applyAlignment="1">
      <alignment horizontal="center" vertical="center"/>
      <protection/>
    </xf>
    <xf numFmtId="49" fontId="14" fillId="0" borderId="0" xfId="266" applyNumberFormat="1" applyFont="1" applyFill="1" applyAlignment="1">
      <alignment horizontal="center" wrapText="1"/>
      <protection/>
    </xf>
    <xf numFmtId="49" fontId="14" fillId="0" borderId="0" xfId="266" applyNumberFormat="1" applyFont="1" applyAlignment="1">
      <alignment horizontal="center"/>
      <protection/>
    </xf>
    <xf numFmtId="49" fontId="4" fillId="0" borderId="0" xfId="266" applyNumberFormat="1" applyFont="1" applyAlignment="1">
      <alignment horizontal="left"/>
      <protection/>
    </xf>
    <xf numFmtId="49" fontId="6" fillId="0" borderId="26" xfId="266" applyNumberFormat="1" applyFont="1" applyFill="1" applyBorder="1" applyAlignment="1">
      <alignment horizontal="center" vertical="center"/>
      <protection/>
    </xf>
    <xf numFmtId="49" fontId="6" fillId="0" borderId="41" xfId="266" applyNumberFormat="1" applyFont="1" applyFill="1" applyBorder="1" applyAlignment="1">
      <alignment horizontal="center" vertical="center"/>
      <protection/>
    </xf>
    <xf numFmtId="49" fontId="3" fillId="0" borderId="0" xfId="266" applyNumberFormat="1" applyFont="1" applyFill="1" applyAlignment="1">
      <alignment horizontal="left"/>
      <protection/>
    </xf>
    <xf numFmtId="49" fontId="34" fillId="0" borderId="0" xfId="266" applyNumberFormat="1" applyFont="1" applyAlignment="1">
      <alignment horizontal="center"/>
      <protection/>
    </xf>
    <xf numFmtId="49" fontId="18" fillId="0" borderId="0" xfId="266" applyNumberFormat="1" applyFont="1" applyBorder="1" applyAlignment="1">
      <alignment horizontal="left"/>
      <protection/>
    </xf>
    <xf numFmtId="49" fontId="6" fillId="0" borderId="26" xfId="266" applyNumberFormat="1" applyFont="1" applyFill="1" applyBorder="1" applyAlignment="1">
      <alignment horizontal="center" vertical="center" wrapText="1"/>
      <protection/>
    </xf>
    <xf numFmtId="49" fontId="87" fillId="3" borderId="26" xfId="266" applyNumberFormat="1" applyFont="1" applyFill="1" applyBorder="1" applyAlignment="1">
      <alignment horizontal="center" vertical="center" wrapText="1"/>
      <protection/>
    </xf>
    <xf numFmtId="49" fontId="87" fillId="3" borderId="25" xfId="266" applyNumberFormat="1" applyFont="1" applyFill="1" applyBorder="1" applyAlignment="1">
      <alignment horizontal="center" vertical="center" wrapText="1"/>
      <protection/>
    </xf>
    <xf numFmtId="49" fontId="29" fillId="0" borderId="0" xfId="266" applyNumberFormat="1" applyFont="1" applyAlignment="1">
      <alignment horizontal="center"/>
      <protection/>
    </xf>
    <xf numFmtId="0" fontId="25" fillId="47" borderId="0" xfId="266" applyFont="1" applyFill="1" applyBorder="1" applyAlignment="1">
      <alignment horizontal="center"/>
      <protection/>
    </xf>
    <xf numFmtId="49" fontId="32" fillId="0" borderId="0" xfId="266" applyNumberFormat="1" applyFont="1" applyAlignment="1">
      <alignment horizontal="center"/>
      <protection/>
    </xf>
    <xf numFmtId="49" fontId="25" fillId="0" borderId="0" xfId="266" applyNumberFormat="1" applyFont="1" applyBorder="1" applyAlignment="1">
      <alignment horizontal="center" wrapText="1"/>
      <protection/>
    </xf>
    <xf numFmtId="49" fontId="6" fillId="0" borderId="26" xfId="266" applyNumberFormat="1" applyFont="1" applyBorder="1" applyAlignment="1">
      <alignment horizontal="center" vertical="center" wrapText="1"/>
      <protection/>
    </xf>
    <xf numFmtId="49" fontId="6" fillId="0" borderId="25" xfId="266" applyNumberFormat="1" applyFont="1" applyBorder="1" applyAlignment="1">
      <alignment horizontal="center" vertical="center" wrapText="1"/>
      <protection/>
    </xf>
    <xf numFmtId="49" fontId="25" fillId="0" borderId="0" xfId="266" applyNumberFormat="1" applyFont="1" applyBorder="1" applyAlignment="1">
      <alignment horizontal="center"/>
      <protection/>
    </xf>
    <xf numFmtId="49" fontId="77" fillId="4" borderId="21" xfId="266" applyNumberFormat="1" applyFont="1" applyFill="1" applyBorder="1" applyAlignment="1">
      <alignment horizontal="center" vertical="center" wrapText="1"/>
      <protection/>
    </xf>
    <xf numFmtId="49" fontId="77" fillId="4" borderId="38" xfId="266" applyNumberFormat="1" applyFont="1" applyFill="1" applyBorder="1" applyAlignment="1">
      <alignment horizontal="center" vertical="center" wrapText="1"/>
      <protection/>
    </xf>
    <xf numFmtId="49" fontId="77" fillId="4" borderId="23" xfId="266" applyNumberFormat="1" applyFont="1" applyFill="1" applyBorder="1" applyAlignment="1">
      <alignment horizontal="center" vertical="center" wrapText="1"/>
      <protection/>
    </xf>
    <xf numFmtId="49" fontId="0" fillId="0" borderId="0" xfId="266" applyNumberFormat="1" applyFont="1" applyAlignment="1">
      <alignment horizontal="left"/>
      <protection/>
    </xf>
    <xf numFmtId="49" fontId="85" fillId="0" borderId="26" xfId="266" applyNumberFormat="1" applyFont="1" applyBorder="1" applyAlignment="1">
      <alignment horizontal="center" vertical="center" wrapText="1"/>
      <protection/>
    </xf>
    <xf numFmtId="49" fontId="85" fillId="0" borderId="25" xfId="266" applyNumberFormat="1" applyFont="1" applyBorder="1" applyAlignment="1">
      <alignment horizontal="center" vertical="center" wrapText="1"/>
      <protection/>
    </xf>
    <xf numFmtId="49" fontId="32" fillId="0" borderId="0" xfId="266" applyNumberFormat="1" applyFont="1" applyBorder="1" applyAlignment="1">
      <alignment horizontal="center" wrapText="1"/>
      <protection/>
    </xf>
    <xf numFmtId="49" fontId="6" fillId="0" borderId="21" xfId="266" applyNumberFormat="1" applyFont="1" applyFill="1" applyBorder="1" applyAlignment="1">
      <alignment horizontal="center" vertical="center" wrapText="1"/>
      <protection/>
    </xf>
    <xf numFmtId="49" fontId="6" fillId="0" borderId="38" xfId="266" applyNumberFormat="1" applyFont="1" applyFill="1" applyBorder="1" applyAlignment="1">
      <alignment horizontal="center" vertical="center" wrapText="1"/>
      <protection/>
    </xf>
    <xf numFmtId="49" fontId="6" fillId="0" borderId="23" xfId="266" applyNumberFormat="1" applyFont="1" applyFill="1" applyBorder="1" applyAlignment="1">
      <alignment horizontal="center" vertical="center" wrapText="1"/>
      <protection/>
    </xf>
    <xf numFmtId="49" fontId="13" fillId="0" borderId="0" xfId="266" applyNumberFormat="1" applyFont="1" applyAlignment="1">
      <alignment horizontal="center"/>
      <protection/>
    </xf>
    <xf numFmtId="49" fontId="32" fillId="0" borderId="0" xfId="266" applyNumberFormat="1" applyFont="1" applyBorder="1" applyAlignment="1">
      <alignment horizontal="center"/>
      <protection/>
    </xf>
    <xf numFmtId="0" fontId="12" fillId="0" borderId="20" xfId="266" applyFont="1" applyBorder="1" applyAlignment="1">
      <alignment horizontal="center" vertical="center" wrapText="1"/>
      <protection/>
    </xf>
    <xf numFmtId="0" fontId="6" fillId="0" borderId="20" xfId="266" applyFont="1" applyBorder="1" applyAlignment="1">
      <alignment horizontal="center" vertical="center" wrapText="1"/>
      <protection/>
    </xf>
    <xf numFmtId="3" fontId="0" fillId="47" borderId="0" xfId="266" applyNumberFormat="1" applyFont="1" applyFill="1" applyBorder="1" applyAlignment="1">
      <alignment horizontal="left"/>
      <protection/>
    </xf>
    <xf numFmtId="0" fontId="3" fillId="0" borderId="0" xfId="266" applyFont="1" applyBorder="1" applyAlignment="1">
      <alignment horizontal="left"/>
      <protection/>
    </xf>
    <xf numFmtId="0" fontId="0" fillId="0" borderId="0" xfId="266" applyFont="1" applyBorder="1" applyAlignment="1">
      <alignment horizontal="left"/>
      <protection/>
    </xf>
    <xf numFmtId="0" fontId="6" fillId="0" borderId="20" xfId="266" applyFont="1" applyFill="1" applyBorder="1" applyAlignment="1">
      <alignment horizontal="center" vertical="center" wrapText="1"/>
      <protection/>
    </xf>
    <xf numFmtId="0" fontId="89" fillId="0" borderId="0" xfId="266" applyFont="1" applyAlignment="1">
      <alignment horizontal="center"/>
      <protection/>
    </xf>
    <xf numFmtId="0" fontId="3" fillId="0" borderId="0" xfId="266" applyNumberFormat="1" applyFont="1" applyAlignment="1">
      <alignment horizontal="left"/>
      <protection/>
    </xf>
    <xf numFmtId="0" fontId="0" fillId="0" borderId="0" xfId="266" applyFont="1" applyAlignment="1">
      <alignment horizontal="left"/>
      <protection/>
    </xf>
    <xf numFmtId="0" fontId="0" fillId="0" borderId="0" xfId="266" applyFont="1" applyBorder="1" applyAlignment="1">
      <alignment/>
      <protection/>
    </xf>
    <xf numFmtId="0" fontId="14" fillId="0" borderId="0" xfId="266" applyFont="1" applyAlignment="1">
      <alignment horizontal="center" wrapText="1"/>
      <protection/>
    </xf>
    <xf numFmtId="0" fontId="13" fillId="0" borderId="0" xfId="266" applyFont="1" applyBorder="1" applyAlignment="1">
      <alignment horizontal="center"/>
      <protection/>
    </xf>
    <xf numFmtId="0" fontId="14" fillId="0" borderId="0" xfId="266" applyFont="1" applyAlignment="1">
      <alignment horizontal="center"/>
      <protection/>
    </xf>
    <xf numFmtId="0" fontId="34" fillId="0" borderId="0" xfId="266" applyFont="1" applyAlignment="1">
      <alignment horizontal="center"/>
      <protection/>
    </xf>
    <xf numFmtId="0" fontId="69" fillId="3" borderId="26" xfId="266" applyFont="1" applyFill="1" applyBorder="1" applyAlignment="1">
      <alignment horizontal="center" vertical="center" wrapText="1"/>
      <protection/>
    </xf>
    <xf numFmtId="0" fontId="69" fillId="3" borderId="25" xfId="266" applyFont="1" applyFill="1" applyBorder="1" applyAlignment="1">
      <alignment horizontal="center" vertical="center" wrapText="1"/>
      <protection/>
    </xf>
    <xf numFmtId="0" fontId="6" fillId="0" borderId="25" xfId="266" applyFont="1" applyBorder="1" applyAlignment="1">
      <alignment horizontal="center" vertical="center" wrapText="1"/>
      <protection/>
    </xf>
    <xf numFmtId="0" fontId="6" fillId="0" borderId="20" xfId="266" applyFont="1" applyBorder="1" applyAlignment="1">
      <alignment horizontal="center" vertical="center"/>
      <protection/>
    </xf>
    <xf numFmtId="0" fontId="32" fillId="0" borderId="0" xfId="266" applyNumberFormat="1" applyFont="1" applyBorder="1" applyAlignment="1">
      <alignment horizontal="center"/>
      <protection/>
    </xf>
    <xf numFmtId="0" fontId="32" fillId="0" borderId="0" xfId="266" applyFont="1" applyBorder="1" applyAlignment="1">
      <alignment horizontal="center" wrapText="1"/>
      <protection/>
    </xf>
    <xf numFmtId="0" fontId="25" fillId="0" borderId="0" xfId="266" applyFont="1" applyBorder="1" applyAlignment="1">
      <alignment horizontal="center" wrapText="1"/>
      <protection/>
    </xf>
    <xf numFmtId="0" fontId="25" fillId="0" borderId="0" xfId="266" applyNumberFormat="1" applyFont="1" applyBorder="1" applyAlignment="1">
      <alignment horizontal="center"/>
      <protection/>
    </xf>
    <xf numFmtId="0" fontId="6" fillId="0" borderId="26" xfId="266" applyFont="1" applyBorder="1" applyAlignment="1">
      <alignment horizontal="center" vertical="center" wrapText="1"/>
      <protection/>
    </xf>
    <xf numFmtId="0" fontId="13" fillId="0" borderId="22" xfId="266" applyFont="1" applyBorder="1" applyAlignment="1">
      <alignment horizontal="left"/>
      <protection/>
    </xf>
    <xf numFmtId="0" fontId="6" fillId="0" borderId="26" xfId="266" applyFont="1" applyBorder="1" applyAlignment="1">
      <alignment horizontal="center" vertical="center"/>
      <protection/>
    </xf>
    <xf numFmtId="0" fontId="6" fillId="0" borderId="41" xfId="266" applyFont="1" applyBorder="1" applyAlignment="1">
      <alignment horizontal="center" vertical="center"/>
      <protection/>
    </xf>
    <xf numFmtId="0" fontId="6" fillId="0" borderId="25" xfId="266" applyFont="1" applyBorder="1" applyAlignment="1">
      <alignment horizontal="center" vertical="center"/>
      <protection/>
    </xf>
    <xf numFmtId="0" fontId="68" fillId="3" borderId="26" xfId="266" applyFont="1" applyFill="1" applyBorder="1" applyAlignment="1">
      <alignment horizontal="center" vertical="center" wrapText="1"/>
      <protection/>
    </xf>
    <xf numFmtId="0" fontId="68" fillId="3" borderId="25" xfId="266" applyFont="1" applyFill="1" applyBorder="1" applyAlignment="1">
      <alignment horizontal="center" vertical="center" wrapText="1"/>
      <protection/>
    </xf>
    <xf numFmtId="0" fontId="6" fillId="0" borderId="35" xfId="266" applyFont="1" applyBorder="1" applyAlignment="1">
      <alignment horizontal="center" vertical="center" wrapText="1"/>
      <protection/>
    </xf>
    <xf numFmtId="0" fontId="6" fillId="0" borderId="19" xfId="266" applyFont="1" applyBorder="1" applyAlignment="1">
      <alignment horizontal="center" vertical="center" wrapText="1"/>
      <protection/>
    </xf>
    <xf numFmtId="0" fontId="6" fillId="0" borderId="36" xfId="266" applyFont="1" applyBorder="1" applyAlignment="1">
      <alignment horizontal="center" vertical="center" wrapText="1"/>
      <protection/>
    </xf>
    <xf numFmtId="0" fontId="6" fillId="0" borderId="24" xfId="266" applyFont="1" applyBorder="1" applyAlignment="1">
      <alignment horizontal="center" vertical="center" wrapText="1"/>
      <protection/>
    </xf>
    <xf numFmtId="0" fontId="6" fillId="0" borderId="0" xfId="266" applyFont="1" applyBorder="1" applyAlignment="1">
      <alignment horizontal="center" vertical="center" wrapText="1"/>
      <protection/>
    </xf>
    <xf numFmtId="0" fontId="6" fillId="0" borderId="40" xfId="266" applyFont="1" applyBorder="1" applyAlignment="1">
      <alignment horizontal="center" vertical="center" wrapText="1"/>
      <protection/>
    </xf>
    <xf numFmtId="0" fontId="6" fillId="0" borderId="21" xfId="266" applyFont="1" applyBorder="1" applyAlignment="1">
      <alignment horizontal="center" vertical="center" wrapText="1"/>
      <protection/>
    </xf>
    <xf numFmtId="0" fontId="6" fillId="0" borderId="38" xfId="266" applyFont="1" applyBorder="1" applyAlignment="1">
      <alignment horizontal="center" vertical="center" wrapText="1"/>
      <protection/>
    </xf>
    <xf numFmtId="0" fontId="6" fillId="0" borderId="23" xfId="266" applyFont="1" applyBorder="1" applyAlignment="1">
      <alignment horizontal="center" vertical="center" wrapText="1"/>
      <protection/>
    </xf>
    <xf numFmtId="0" fontId="21" fillId="0" borderId="26" xfId="266" applyFont="1" applyBorder="1" applyAlignment="1">
      <alignment horizontal="center" vertical="center" wrapText="1"/>
      <protection/>
    </xf>
    <xf numFmtId="0" fontId="21" fillId="0" borderId="25" xfId="266" applyFont="1" applyBorder="1" applyAlignment="1">
      <alignment horizontal="center" vertical="center" wrapText="1"/>
      <protection/>
    </xf>
    <xf numFmtId="49" fontId="6" fillId="0" borderId="19" xfId="266" applyNumberFormat="1" applyFont="1" applyFill="1" applyBorder="1" applyAlignment="1">
      <alignment horizontal="center" vertical="center"/>
      <protection/>
    </xf>
    <xf numFmtId="49" fontId="6" fillId="0" borderId="0" xfId="266" applyNumberFormat="1" applyFont="1" applyFill="1" applyBorder="1" applyAlignment="1">
      <alignment horizontal="center" vertical="center"/>
      <protection/>
    </xf>
    <xf numFmtId="49" fontId="6" fillId="0" borderId="22" xfId="266" applyNumberFormat="1" applyFont="1" applyFill="1" applyBorder="1" applyAlignment="1">
      <alignment horizontal="center" vertical="center"/>
      <protection/>
    </xf>
    <xf numFmtId="49" fontId="80" fillId="0" borderId="0" xfId="266" applyNumberFormat="1" applyFont="1" applyAlignment="1">
      <alignment horizontal="center"/>
      <protection/>
    </xf>
    <xf numFmtId="49" fontId="6" fillId="0" borderId="20" xfId="266" applyNumberFormat="1" applyFont="1" applyFill="1" applyBorder="1" applyAlignment="1">
      <alignment horizontal="center" vertical="center"/>
      <protection/>
    </xf>
    <xf numFmtId="49" fontId="78" fillId="3" borderId="26" xfId="266" applyNumberFormat="1" applyFont="1" applyFill="1" applyBorder="1" applyAlignment="1">
      <alignment horizontal="center" vertical="center" wrapText="1"/>
      <protection/>
    </xf>
    <xf numFmtId="49" fontId="78" fillId="3" borderId="25" xfId="266" applyNumberFormat="1" applyFont="1" applyFill="1" applyBorder="1" applyAlignment="1">
      <alignment horizontal="center" vertical="center" wrapText="1"/>
      <protection/>
    </xf>
    <xf numFmtId="49" fontId="76" fillId="3" borderId="26" xfId="266" applyNumberFormat="1" applyFont="1" applyFill="1" applyBorder="1" applyAlignment="1">
      <alignment horizontal="center" vertical="center" wrapText="1"/>
      <protection/>
    </xf>
    <xf numFmtId="49" fontId="76" fillId="3" borderId="25" xfId="266" applyNumberFormat="1" applyFont="1" applyFill="1" applyBorder="1" applyAlignment="1">
      <alignment horizontal="center" vertical="center" wrapText="1"/>
      <protection/>
    </xf>
    <xf numFmtId="49" fontId="3" fillId="0" borderId="0" xfId="266" applyNumberFormat="1" applyFont="1" applyAlignment="1">
      <alignment horizontal="left"/>
      <protection/>
    </xf>
    <xf numFmtId="49" fontId="5" fillId="0" borderId="0" xfId="266" applyNumberFormat="1" applyFont="1" applyBorder="1" applyAlignment="1">
      <alignment horizontal="left" wrapText="1"/>
      <protection/>
    </xf>
    <xf numFmtId="49" fontId="5" fillId="0" borderId="0" xfId="266" applyNumberFormat="1" applyFont="1" applyBorder="1" applyAlignment="1">
      <alignment horizontal="left"/>
      <protection/>
    </xf>
    <xf numFmtId="49" fontId="14" fillId="0" borderId="0" xfId="266" applyNumberFormat="1" applyFont="1" applyAlignment="1">
      <alignment horizontal="center" wrapText="1"/>
      <protection/>
    </xf>
    <xf numFmtId="49" fontId="0" fillId="47" borderId="0" xfId="266" applyNumberFormat="1" applyFont="1" applyFill="1" applyBorder="1" applyAlignment="1">
      <alignment horizontal="left" vertical="top" wrapText="1"/>
      <protection/>
    </xf>
    <xf numFmtId="49" fontId="3" fillId="47" borderId="0" xfId="266" applyNumberFormat="1" applyFont="1" applyFill="1" applyBorder="1" applyAlignment="1">
      <alignment horizontal="left" vertical="top" wrapText="1"/>
      <protection/>
    </xf>
    <xf numFmtId="49" fontId="0" fillId="0" borderId="0" xfId="266" applyNumberFormat="1" applyFont="1" applyAlignment="1">
      <alignment horizontal="justify" vertical="top"/>
      <protection/>
    </xf>
    <xf numFmtId="49" fontId="0" fillId="0" borderId="0" xfId="266" applyNumberFormat="1" applyFont="1" applyBorder="1" applyAlignment="1">
      <alignment horizontal="justify" vertical="top" wrapText="1"/>
      <protection/>
    </xf>
    <xf numFmtId="49" fontId="0" fillId="0" borderId="0" xfId="266" applyNumberFormat="1" applyFont="1" applyBorder="1" applyAlignment="1">
      <alignment horizontal="justify" vertical="top"/>
      <protection/>
    </xf>
    <xf numFmtId="49" fontId="18" fillId="0" borderId="0" xfId="266" applyNumberFormat="1" applyFont="1" applyAlignment="1">
      <alignment horizontal="center" wrapText="1"/>
      <protection/>
    </xf>
    <xf numFmtId="49" fontId="19" fillId="0" borderId="22" xfId="266" applyNumberFormat="1" applyFont="1" applyBorder="1" applyAlignment="1">
      <alignment horizontal="center"/>
      <protection/>
    </xf>
    <xf numFmtId="49" fontId="75" fillId="0" borderId="20" xfId="266" applyNumberFormat="1" applyFont="1" applyBorder="1" applyAlignment="1">
      <alignment horizontal="center" vertical="center" wrapText="1"/>
      <protection/>
    </xf>
    <xf numFmtId="49" fontId="12" fillId="0" borderId="20" xfId="266" applyNumberFormat="1" applyFont="1" applyBorder="1" applyAlignment="1">
      <alignment horizontal="center" vertical="center" wrapText="1"/>
      <protection/>
    </xf>
    <xf numFmtId="49" fontId="7" fillId="0" borderId="0" xfId="266" applyNumberFormat="1" applyFont="1" applyAlignment="1">
      <alignment horizontal="left"/>
      <protection/>
    </xf>
    <xf numFmtId="49" fontId="13" fillId="0" borderId="0" xfId="266" applyNumberFormat="1" applyFont="1" applyBorder="1" applyAlignment="1">
      <alignment horizontal="left"/>
      <protection/>
    </xf>
    <xf numFmtId="49" fontId="7" fillId="0" borderId="26" xfId="266" applyNumberFormat="1" applyFont="1" applyBorder="1" applyAlignment="1">
      <alignment horizontal="center" vertical="center" wrapText="1"/>
      <protection/>
    </xf>
    <xf numFmtId="49" fontId="7" fillId="0" borderId="25" xfId="266" applyNumberFormat="1" applyFont="1" applyBorder="1" applyAlignment="1">
      <alignment horizontal="center" vertical="center" wrapText="1"/>
      <protection/>
    </xf>
    <xf numFmtId="49" fontId="4" fillId="0" borderId="0" xfId="266" applyNumberFormat="1" applyFont="1" applyAlignment="1">
      <alignment/>
      <protection/>
    </xf>
    <xf numFmtId="49" fontId="0" fillId="0" borderId="0" xfId="266" applyNumberFormat="1" applyFont="1" applyBorder="1" applyAlignment="1">
      <alignment horizontal="left"/>
      <protection/>
    </xf>
    <xf numFmtId="49" fontId="19" fillId="0" borderId="26" xfId="266" applyNumberFormat="1" applyFont="1" applyBorder="1" applyAlignment="1">
      <alignment horizontal="center" vertical="center" wrapText="1"/>
      <protection/>
    </xf>
    <xf numFmtId="49" fontId="19" fillId="0" borderId="25" xfId="266" applyNumberFormat="1" applyFont="1" applyBorder="1" applyAlignment="1">
      <alignment horizontal="center" vertical="center" wrapText="1"/>
      <protection/>
    </xf>
    <xf numFmtId="49" fontId="91" fillId="3" borderId="26" xfId="266" applyNumberFormat="1" applyFont="1" applyFill="1" applyBorder="1" applyAlignment="1">
      <alignment horizontal="center" vertical="center" wrapText="1"/>
      <protection/>
    </xf>
    <xf numFmtId="49" fontId="91" fillId="3" borderId="25" xfId="266" applyNumberFormat="1" applyFont="1" applyFill="1" applyBorder="1" applyAlignment="1">
      <alignment horizontal="center" vertical="center" wrapText="1"/>
      <protection/>
    </xf>
    <xf numFmtId="49" fontId="90" fillId="3" borderId="26" xfId="266" applyNumberFormat="1" applyFont="1" applyFill="1" applyBorder="1" applyAlignment="1">
      <alignment horizontal="center" vertical="center" wrapText="1"/>
      <protection/>
    </xf>
    <xf numFmtId="49" fontId="90" fillId="3" borderId="25" xfId="266" applyNumberFormat="1" applyFont="1" applyFill="1" applyBorder="1" applyAlignment="1">
      <alignment horizontal="center" vertical="center" wrapText="1"/>
      <protection/>
    </xf>
    <xf numFmtId="49" fontId="6" fillId="0" borderId="21" xfId="266" applyNumberFormat="1" applyFont="1" applyBorder="1" applyAlignment="1">
      <alignment horizontal="center" vertical="center" wrapText="1"/>
      <protection/>
    </xf>
    <xf numFmtId="49" fontId="6" fillId="0" borderId="23" xfId="266" applyNumberFormat="1" applyFont="1" applyBorder="1" applyAlignment="1">
      <alignment horizontal="center" vertical="center" wrapText="1"/>
      <protection/>
    </xf>
    <xf numFmtId="49" fontId="6" fillId="0" borderId="38" xfId="266" applyNumberFormat="1" applyFont="1" applyBorder="1" applyAlignment="1">
      <alignment horizontal="center" vertical="center" wrapText="1"/>
      <protection/>
    </xf>
    <xf numFmtId="49" fontId="6" fillId="0" borderId="41" xfId="266" applyNumberFormat="1" applyFont="1" applyBorder="1" applyAlignment="1">
      <alignment horizontal="center" vertical="center" wrapText="1"/>
      <protection/>
    </xf>
    <xf numFmtId="49" fontId="19" fillId="0" borderId="0" xfId="266" applyNumberFormat="1" applyFont="1" applyAlignment="1">
      <alignment horizontal="center"/>
      <protection/>
    </xf>
    <xf numFmtId="49" fontId="18" fillId="0" borderId="22" xfId="266" applyNumberFormat="1" applyFont="1" applyBorder="1" applyAlignment="1">
      <alignment horizontal="left"/>
      <protection/>
    </xf>
    <xf numFmtId="49" fontId="32" fillId="0" borderId="0" xfId="266" applyNumberFormat="1" applyFont="1" applyBorder="1" applyAlignment="1">
      <alignment horizontal="left" wrapText="1"/>
      <protection/>
    </xf>
    <xf numFmtId="0" fontId="83" fillId="0" borderId="41" xfId="266" applyFont="1" applyFill="1" applyBorder="1" applyAlignment="1">
      <alignment horizontal="center" vertical="center" wrapText="1"/>
      <protection/>
    </xf>
    <xf numFmtId="0" fontId="83" fillId="0" borderId="25" xfId="266" applyFont="1" applyFill="1" applyBorder="1" applyAlignment="1">
      <alignment horizontal="center" vertical="center" wrapText="1"/>
      <protection/>
    </xf>
    <xf numFmtId="49" fontId="90" fillId="3" borderId="26" xfId="266" applyNumberFormat="1" applyFont="1" applyFill="1" applyBorder="1" applyAlignment="1">
      <alignment horizontal="center" vertical="center"/>
      <protection/>
    </xf>
    <xf numFmtId="49" fontId="90" fillId="3" borderId="25" xfId="266" applyNumberFormat="1" applyFont="1" applyFill="1" applyBorder="1" applyAlignment="1">
      <alignment horizontal="center" vertical="center"/>
      <protection/>
    </xf>
    <xf numFmtId="49" fontId="19" fillId="0" borderId="26" xfId="266" applyNumberFormat="1" applyFont="1" applyFill="1" applyBorder="1" applyAlignment="1">
      <alignment horizontal="center" vertical="center"/>
      <protection/>
    </xf>
    <xf numFmtId="49" fontId="19" fillId="0" borderId="25" xfId="266" applyNumberFormat="1" applyFont="1" applyFill="1" applyBorder="1" applyAlignment="1">
      <alignment horizontal="center" vertical="center"/>
      <protection/>
    </xf>
    <xf numFmtId="49" fontId="6" fillId="0" borderId="35" xfId="266" applyNumberFormat="1" applyFont="1" applyFill="1" applyBorder="1" applyAlignment="1">
      <alignment horizontal="center" vertical="center" wrapText="1"/>
      <protection/>
    </xf>
    <xf numFmtId="49" fontId="6" fillId="0" borderId="36" xfId="266" applyNumberFormat="1" applyFont="1" applyFill="1" applyBorder="1" applyAlignment="1">
      <alignment horizontal="center" vertical="center" wrapText="1"/>
      <protection/>
    </xf>
    <xf numFmtId="49" fontId="6" fillId="0" borderId="24" xfId="266" applyNumberFormat="1" applyFont="1" applyFill="1" applyBorder="1" applyAlignment="1">
      <alignment horizontal="center" vertical="center" wrapText="1"/>
      <protection/>
    </xf>
    <xf numFmtId="49" fontId="6" fillId="0" borderId="40" xfId="266" applyNumberFormat="1" applyFont="1" applyFill="1" applyBorder="1" applyAlignment="1">
      <alignment horizontal="center" vertical="center" wrapText="1"/>
      <protection/>
    </xf>
    <xf numFmtId="49" fontId="6" fillId="0" borderId="27" xfId="266" applyNumberFormat="1" applyFont="1" applyFill="1" applyBorder="1" applyAlignment="1">
      <alignment horizontal="center" vertical="center" wrapText="1"/>
      <protection/>
    </xf>
    <xf numFmtId="49" fontId="6" fillId="0" borderId="37" xfId="266" applyNumberFormat="1" applyFont="1" applyFill="1" applyBorder="1" applyAlignment="1">
      <alignment horizontal="center" vertical="center" wrapText="1"/>
      <protection/>
    </xf>
    <xf numFmtId="49" fontId="6" fillId="0" borderId="41" xfId="266" applyNumberFormat="1" applyFont="1" applyFill="1" applyBorder="1" applyAlignment="1">
      <alignment horizontal="center" vertical="center" wrapText="1"/>
      <protection/>
    </xf>
    <xf numFmtId="49" fontId="0" fillId="0" borderId="0" xfId="266" applyNumberFormat="1" applyFont="1" applyFill="1" applyAlignment="1">
      <alignment horizontal="left"/>
      <protection/>
    </xf>
    <xf numFmtId="49" fontId="13" fillId="0" borderId="22" xfId="266" applyNumberFormat="1" applyFont="1" applyFill="1" applyBorder="1" applyAlignment="1">
      <alignment horizontal="center" vertical="center"/>
      <protection/>
    </xf>
    <xf numFmtId="49" fontId="18" fillId="0" borderId="0" xfId="266" applyNumberFormat="1" applyFont="1" applyFill="1" applyBorder="1" applyAlignment="1">
      <alignment horizontal="left"/>
      <protection/>
    </xf>
    <xf numFmtId="49" fontId="6" fillId="47" borderId="26" xfId="266" applyNumberFormat="1" applyFont="1" applyFill="1" applyBorder="1" applyAlignment="1">
      <alignment horizontal="center" vertical="center"/>
      <protection/>
    </xf>
    <xf numFmtId="49" fontId="6" fillId="47" borderId="25" xfId="266" applyNumberFormat="1" applyFont="1" applyFill="1" applyBorder="1" applyAlignment="1">
      <alignment horizontal="center" vertical="center"/>
      <protection/>
    </xf>
    <xf numFmtId="49" fontId="91" fillId="3" borderId="26" xfId="266" applyNumberFormat="1" applyFont="1" applyFill="1" applyBorder="1" applyAlignment="1">
      <alignment horizontal="center" vertical="center"/>
      <protection/>
    </xf>
    <xf numFmtId="49" fontId="91" fillId="3" borderId="25" xfId="266" applyNumberFormat="1" applyFont="1" applyFill="1" applyBorder="1" applyAlignment="1">
      <alignment horizontal="center" vertical="center"/>
      <protection/>
    </xf>
    <xf numFmtId="49" fontId="29" fillId="0" borderId="0" xfId="266" applyNumberFormat="1" applyFont="1" applyAlignment="1">
      <alignment horizontal="center"/>
      <protection/>
    </xf>
    <xf numFmtId="0" fontId="14" fillId="0" borderId="0" xfId="266" applyNumberFormat="1" applyFont="1" applyAlignment="1">
      <alignment horizontal="center"/>
      <protection/>
    </xf>
    <xf numFmtId="0" fontId="34" fillId="0" borderId="0" xfId="266" applyNumberFormat="1" applyFont="1" applyAlignment="1">
      <alignment horizontal="center"/>
      <protection/>
    </xf>
    <xf numFmtId="0" fontId="23" fillId="0" borderId="0" xfId="266" applyNumberFormat="1" applyFont="1" applyAlignment="1">
      <alignment horizontal="center"/>
      <protection/>
    </xf>
    <xf numFmtId="0" fontId="7" fillId="0" borderId="20" xfId="266" applyFont="1" applyFill="1" applyBorder="1" applyAlignment="1">
      <alignment horizontal="center" vertical="center" wrapText="1"/>
      <protection/>
    </xf>
    <xf numFmtId="0" fontId="18" fillId="0" borderId="0" xfId="266" applyFont="1" applyBorder="1" applyAlignment="1">
      <alignment horizontal="left"/>
      <protection/>
    </xf>
    <xf numFmtId="0" fontId="13" fillId="0" borderId="0" xfId="266" applyFont="1" applyAlignment="1">
      <alignment horizontal="center"/>
      <protection/>
    </xf>
    <xf numFmtId="49" fontId="32" fillId="0" borderId="0" xfId="266" applyNumberFormat="1" applyFont="1" applyBorder="1" applyAlignment="1">
      <alignment horizontal="justify" vertical="justify" wrapText="1"/>
      <protection/>
    </xf>
    <xf numFmtId="0" fontId="29" fillId="47" borderId="0" xfId="266" applyFont="1" applyFill="1" applyBorder="1" applyAlignment="1">
      <alignment horizontal="center"/>
      <protection/>
    </xf>
    <xf numFmtId="49" fontId="7" fillId="0" borderId="35" xfId="266" applyNumberFormat="1" applyFont="1" applyFill="1" applyBorder="1" applyAlignment="1">
      <alignment horizontal="center" vertical="center"/>
      <protection/>
    </xf>
    <xf numFmtId="49" fontId="7" fillId="0" borderId="36" xfId="266" applyNumberFormat="1" applyFont="1" applyFill="1" applyBorder="1" applyAlignment="1">
      <alignment horizontal="center" vertical="center"/>
      <protection/>
    </xf>
    <xf numFmtId="49" fontId="7" fillId="0" borderId="24" xfId="266" applyNumberFormat="1" applyFont="1" applyFill="1" applyBorder="1" applyAlignment="1">
      <alignment horizontal="center" vertical="center"/>
      <protection/>
    </xf>
    <xf numFmtId="49" fontId="7" fillId="0" borderId="40" xfId="266" applyNumberFormat="1" applyFont="1" applyFill="1" applyBorder="1" applyAlignment="1">
      <alignment horizontal="center" vertical="center"/>
      <protection/>
    </xf>
    <xf numFmtId="49" fontId="7" fillId="0" borderId="27" xfId="266" applyNumberFormat="1" applyFont="1" applyFill="1" applyBorder="1" applyAlignment="1">
      <alignment horizontal="center" vertical="center"/>
      <protection/>
    </xf>
    <xf numFmtId="49" fontId="7" fillId="0" borderId="37" xfId="266" applyNumberFormat="1" applyFont="1" applyFill="1" applyBorder="1" applyAlignment="1">
      <alignment horizontal="center" vertical="center"/>
      <protection/>
    </xf>
    <xf numFmtId="0" fontId="25" fillId="0" borderId="0" xfId="266" applyFont="1" applyAlignment="1">
      <alignment horizontal="center"/>
      <protection/>
    </xf>
    <xf numFmtId="49" fontId="25" fillId="47" borderId="42" xfId="0" applyNumberFormat="1" applyFont="1" applyFill="1" applyBorder="1" applyAlignment="1">
      <alignment horizontal="center" vertical="center"/>
    </xf>
    <xf numFmtId="49" fontId="25" fillId="47" borderId="43" xfId="0" applyNumberFormat="1" applyFont="1" applyFill="1" applyBorder="1" applyAlignment="1">
      <alignment horizontal="center" vertical="center"/>
    </xf>
    <xf numFmtId="49" fontId="101" fillId="47" borderId="26" xfId="0" applyNumberFormat="1" applyFont="1" applyFill="1" applyBorder="1" applyAlignment="1">
      <alignment horizontal="left"/>
    </xf>
    <xf numFmtId="49" fontId="101" fillId="47" borderId="41" xfId="0" applyNumberFormat="1" applyFont="1" applyFill="1" applyBorder="1" applyAlignment="1">
      <alignment horizontal="left"/>
    </xf>
    <xf numFmtId="49" fontId="101"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9" fillId="0" borderId="0" xfId="0" applyNumberFormat="1" applyFont="1" applyFill="1" applyAlignment="1">
      <alignment horizontal="left"/>
    </xf>
    <xf numFmtId="49" fontId="5" fillId="0" borderId="20" xfId="0" applyNumberFormat="1" applyFont="1" applyFill="1" applyBorder="1" applyAlignment="1" applyProtection="1">
      <alignment horizontal="center" vertical="center" wrapText="1"/>
      <protection/>
    </xf>
    <xf numFmtId="0" fontId="6" fillId="0" borderId="0" xfId="0" applyNumberFormat="1" applyFont="1" applyFill="1" applyAlignment="1">
      <alignment horizontal="center"/>
    </xf>
    <xf numFmtId="0" fontId="25" fillId="0" borderId="0" xfId="0" applyNumberFormat="1" applyFont="1" applyFill="1" applyAlignment="1">
      <alignment horizontal="center"/>
    </xf>
    <xf numFmtId="49" fontId="13" fillId="0" borderId="44" xfId="0" applyNumberFormat="1" applyFont="1" applyFill="1" applyBorder="1" applyAlignment="1" applyProtection="1">
      <alignment horizontal="center" vertical="center" wrapText="1"/>
      <protection/>
    </xf>
    <xf numFmtId="49" fontId="13" fillId="0" borderId="25" xfId="0" applyNumberFormat="1" applyFont="1" applyFill="1" applyBorder="1" applyAlignment="1" applyProtection="1">
      <alignment horizontal="center" vertical="center" wrapText="1"/>
      <protection/>
    </xf>
    <xf numFmtId="49" fontId="30" fillId="0" borderId="20" xfId="0" applyNumberFormat="1" applyFont="1" applyFill="1" applyBorder="1" applyAlignment="1">
      <alignment horizontal="center" vertical="center" wrapText="1"/>
    </xf>
    <xf numFmtId="49" fontId="5" fillId="50" borderId="26" xfId="0" applyNumberFormat="1" applyFont="1" applyFill="1" applyBorder="1" applyAlignment="1" applyProtection="1">
      <alignment horizontal="center" vertical="center" wrapText="1"/>
      <protection/>
    </xf>
    <xf numFmtId="49" fontId="5" fillId="50" borderId="25" xfId="0" applyNumberFormat="1" applyFont="1" applyFill="1" applyBorder="1" applyAlignment="1" applyProtection="1">
      <alignment horizontal="center" vertical="center" wrapText="1"/>
      <protection/>
    </xf>
    <xf numFmtId="49" fontId="5" fillId="0" borderId="0" xfId="0" applyNumberFormat="1" applyFont="1" applyFill="1" applyAlignment="1">
      <alignment horizontal="center"/>
    </xf>
    <xf numFmtId="49" fontId="5" fillId="0" borderId="0" xfId="0" applyNumberFormat="1" applyFont="1" applyFill="1" applyAlignment="1">
      <alignment horizontal="center" wrapText="1"/>
    </xf>
    <xf numFmtId="0" fontId="19" fillId="0" borderId="0" xfId="0" applyNumberFormat="1" applyFont="1" applyFill="1" applyAlignment="1">
      <alignment horizontal="center"/>
    </xf>
    <xf numFmtId="49" fontId="5" fillId="0" borderId="20" xfId="0" applyNumberFormat="1" applyFont="1" applyFill="1" applyBorder="1" applyAlignment="1">
      <alignment horizontal="center" vertical="center" wrapText="1"/>
    </xf>
    <xf numFmtId="0" fontId="5" fillId="0" borderId="0" xfId="0" applyNumberFormat="1" applyFont="1" applyFill="1" applyBorder="1" applyAlignment="1">
      <alignment horizontal="left" wrapText="1"/>
    </xf>
    <xf numFmtId="49" fontId="4" fillId="0" borderId="0" xfId="0" applyNumberFormat="1" applyFont="1" applyFill="1" applyAlignment="1">
      <alignment horizontal="left"/>
    </xf>
    <xf numFmtId="1" fontId="5" fillId="0" borderId="20" xfId="0" applyNumberFormat="1" applyFont="1" applyFill="1" applyBorder="1" applyAlignment="1">
      <alignment horizontal="center" vertical="center"/>
    </xf>
    <xf numFmtId="49" fontId="5" fillId="0" borderId="0" xfId="0" applyNumberFormat="1" applyFont="1" applyFill="1" applyBorder="1" applyAlignment="1">
      <alignment horizontal="left" wrapText="1"/>
    </xf>
    <xf numFmtId="49" fontId="30" fillId="0" borderId="20" xfId="0" applyNumberFormat="1" applyFont="1" applyFill="1" applyBorder="1" applyAlignment="1" applyProtection="1">
      <alignment horizontal="center" vertical="center" wrapText="1"/>
      <protection/>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5" fillId="0" borderId="19" xfId="0" applyNumberFormat="1" applyFont="1" applyFill="1" applyBorder="1" applyAlignment="1">
      <alignment horizontal="center"/>
    </xf>
    <xf numFmtId="0" fontId="29" fillId="0" borderId="19" xfId="0" applyNumberFormat="1" applyFont="1" applyFill="1" applyBorder="1" applyAlignment="1">
      <alignment horizontal="center"/>
    </xf>
    <xf numFmtId="49" fontId="8" fillId="0" borderId="0" xfId="0" applyNumberFormat="1" applyFont="1" applyFill="1" applyAlignment="1">
      <alignment horizontal="left"/>
    </xf>
    <xf numFmtId="210" fontId="8" fillId="0" borderId="0" xfId="0" applyNumberFormat="1" applyFont="1" applyFill="1" applyAlignment="1">
      <alignment horizontal="center"/>
    </xf>
    <xf numFmtId="210" fontId="8" fillId="0" borderId="0" xfId="0" applyNumberFormat="1" applyFont="1" applyFill="1" applyAlignment="1">
      <alignment horizontal="center" wrapText="1"/>
    </xf>
    <xf numFmtId="210" fontId="31" fillId="0" borderId="0" xfId="0" applyNumberFormat="1" applyFont="1" applyFill="1" applyAlignment="1">
      <alignment horizontal="center"/>
    </xf>
    <xf numFmtId="0" fontId="8" fillId="0" borderId="0" xfId="0" applyNumberFormat="1" applyFont="1" applyFill="1" applyBorder="1" applyAlignment="1">
      <alignment horizontal="left" wrapText="1"/>
    </xf>
    <xf numFmtId="49" fontId="8" fillId="0" borderId="0" xfId="0" applyNumberFormat="1" applyFont="1" applyFill="1" applyBorder="1" applyAlignment="1">
      <alignment horizontal="left" wrapText="1"/>
    </xf>
    <xf numFmtId="49" fontId="8" fillId="0" borderId="45" xfId="0" applyNumberFormat="1" applyFont="1" applyFill="1" applyBorder="1" applyAlignment="1" applyProtection="1">
      <alignment horizontal="center" vertical="center" wrapText="1"/>
      <protection/>
    </xf>
    <xf numFmtId="49" fontId="8" fillId="0" borderId="39" xfId="0" applyNumberFormat="1" applyFont="1" applyFill="1" applyBorder="1" applyAlignment="1" applyProtection="1">
      <alignment horizontal="center" vertical="center" wrapText="1"/>
      <protection/>
    </xf>
    <xf numFmtId="210" fontId="8" fillId="0" borderId="20" xfId="0" applyNumberFormat="1" applyFont="1" applyFill="1" applyBorder="1" applyAlignment="1" applyProtection="1">
      <alignment horizontal="center" vertical="center" wrapText="1"/>
      <protection/>
    </xf>
    <xf numFmtId="210" fontId="108" fillId="0" borderId="20" xfId="0" applyNumberFormat="1" applyFont="1" applyFill="1" applyBorder="1" applyAlignment="1">
      <alignment horizontal="center" vertical="center" wrapText="1"/>
    </xf>
    <xf numFmtId="49" fontId="31" fillId="0" borderId="46" xfId="0" applyNumberFormat="1" applyFont="1" applyFill="1" applyBorder="1" applyAlignment="1">
      <alignment horizontal="left"/>
    </xf>
    <xf numFmtId="210" fontId="8" fillId="0" borderId="47" xfId="0" applyNumberFormat="1" applyFont="1" applyFill="1" applyBorder="1" applyAlignment="1">
      <alignment horizontal="center" vertical="center" wrapText="1"/>
    </xf>
    <xf numFmtId="210" fontId="8" fillId="0" borderId="20" xfId="0" applyNumberFormat="1" applyFont="1" applyFill="1" applyBorder="1" applyAlignment="1">
      <alignment horizontal="center" vertical="center" wrapText="1"/>
    </xf>
    <xf numFmtId="210" fontId="25" fillId="0" borderId="0" xfId="0" applyNumberFormat="1" applyFont="1" applyFill="1" applyAlignment="1">
      <alignment horizontal="center"/>
    </xf>
    <xf numFmtId="49" fontId="8" fillId="0" borderId="0" xfId="0" applyNumberFormat="1" applyFont="1" applyFill="1" applyBorder="1" applyAlignment="1">
      <alignment horizontal="left"/>
    </xf>
    <xf numFmtId="0" fontId="25" fillId="0" borderId="0" xfId="0" applyNumberFormat="1" applyFont="1" applyFill="1" applyAlignment="1">
      <alignment horizontal="center" wrapText="1"/>
    </xf>
    <xf numFmtId="49" fontId="8" fillId="50" borderId="26" xfId="0" applyNumberFormat="1" applyFont="1" applyFill="1" applyBorder="1" applyAlignment="1" applyProtection="1">
      <alignment horizontal="center" vertical="center" wrapText="1"/>
      <protection/>
    </xf>
    <xf numFmtId="49" fontId="8" fillId="50" borderId="25" xfId="0" applyNumberFormat="1" applyFont="1" applyFill="1" applyBorder="1" applyAlignment="1" applyProtection="1">
      <alignment horizontal="center" vertical="center" wrapText="1"/>
      <protection/>
    </xf>
    <xf numFmtId="0" fontId="8" fillId="0" borderId="48"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0" fontId="8" fillId="0" borderId="49"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210" fontId="108" fillId="0" borderId="47" xfId="0" applyNumberFormat="1" applyFont="1" applyFill="1" applyBorder="1" applyAlignment="1" applyProtection="1">
      <alignment horizontal="center" vertical="center" wrapText="1"/>
      <protection/>
    </xf>
    <xf numFmtId="210" fontId="108" fillId="0" borderId="20" xfId="0" applyNumberFormat="1" applyFont="1" applyFill="1" applyBorder="1" applyAlignment="1" applyProtection="1">
      <alignment horizontal="center" vertical="center" wrapText="1"/>
      <protection/>
    </xf>
    <xf numFmtId="210" fontId="8" fillId="0" borderId="47" xfId="0" applyNumberFormat="1" applyFont="1" applyFill="1" applyBorder="1" applyAlignment="1" applyProtection="1">
      <alignment horizontal="center" vertical="center" wrapText="1"/>
      <protection/>
    </xf>
    <xf numFmtId="210" fontId="25" fillId="0" borderId="19" xfId="0" applyNumberFormat="1" applyFont="1" applyFill="1" applyBorder="1" applyAlignment="1">
      <alignment horizontal="center"/>
    </xf>
    <xf numFmtId="210" fontId="8" fillId="0" borderId="47" xfId="0" applyNumberFormat="1" applyFont="1" applyFill="1" applyBorder="1" applyAlignment="1">
      <alignment horizontal="center" vertical="center"/>
    </xf>
    <xf numFmtId="49" fontId="31" fillId="0" borderId="49" xfId="0" applyNumberFormat="1" applyFont="1" applyFill="1" applyBorder="1" applyAlignment="1" applyProtection="1">
      <alignment horizontal="center" vertical="center" wrapText="1"/>
      <protection/>
    </xf>
    <xf numFmtId="49" fontId="31" fillId="0" borderId="20" xfId="0" applyNumberFormat="1" applyFont="1" applyFill="1" applyBorder="1" applyAlignment="1" applyProtection="1">
      <alignment horizontal="center" vertical="center" wrapText="1"/>
      <protection/>
    </xf>
  </cellXfs>
  <cellStyles count="28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urrency" xfId="97"/>
    <cellStyle name="Currency [0]" xfId="98"/>
    <cellStyle name="Check Cell" xfId="99"/>
    <cellStyle name="Check Cell 2" xfId="100"/>
    <cellStyle name="Check Cell 3"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10" xfId="131"/>
    <cellStyle name="Normal 10 10" xfId="132"/>
    <cellStyle name="Normal 10 2" xfId="133"/>
    <cellStyle name="Normal 10 3" xfId="134"/>
    <cellStyle name="Normal 10 4" xfId="135"/>
    <cellStyle name="Normal 10 5" xfId="136"/>
    <cellStyle name="Normal 10 6" xfId="137"/>
    <cellStyle name="Normal 10 7" xfId="138"/>
    <cellStyle name="Normal 10 8" xfId="139"/>
    <cellStyle name="Normal 10 9" xfId="140"/>
    <cellStyle name="Normal 11" xfId="141"/>
    <cellStyle name="Normal 11 2" xfId="142"/>
    <cellStyle name="Normal 11 3" xfId="143"/>
    <cellStyle name="Normal 11 4" xfId="144"/>
    <cellStyle name="Normal 12" xfId="145"/>
    <cellStyle name="Normal 12 2" xfId="146"/>
    <cellStyle name="Normal 13" xfId="147"/>
    <cellStyle name="Normal 13 2" xfId="148"/>
    <cellStyle name="Normal 13 3" xfId="149"/>
    <cellStyle name="Normal 13 4" xfId="150"/>
    <cellStyle name="Normal 13 5" xfId="151"/>
    <cellStyle name="Normal 14" xfId="152"/>
    <cellStyle name="Normal 14 2" xfId="153"/>
    <cellStyle name="Normal 14 3" xfId="154"/>
    <cellStyle name="Normal 15" xfId="155"/>
    <cellStyle name="Normal 16" xfId="156"/>
    <cellStyle name="Normal 17" xfId="157"/>
    <cellStyle name="Normal 18" xfId="158"/>
    <cellStyle name="Normal 19" xfId="159"/>
    <cellStyle name="Normal 2" xfId="160"/>
    <cellStyle name="Normal 2 2" xfId="161"/>
    <cellStyle name="Normal 2 2 2" xfId="162"/>
    <cellStyle name="Normal 2 2 2 2" xfId="163"/>
    <cellStyle name="Normal 2_01" xfId="164"/>
    <cellStyle name="Normal 20" xfId="165"/>
    <cellStyle name="Normal 21" xfId="166"/>
    <cellStyle name="Normal 22" xfId="167"/>
    <cellStyle name="Normal 23" xfId="168"/>
    <cellStyle name="Normal 24" xfId="169"/>
    <cellStyle name="Normal 25" xfId="170"/>
    <cellStyle name="Normal 26" xfId="171"/>
    <cellStyle name="Normal 27" xfId="172"/>
    <cellStyle name="Normal 28" xfId="173"/>
    <cellStyle name="Normal 29" xfId="174"/>
    <cellStyle name="Normal 3" xfId="175"/>
    <cellStyle name="Normal 30" xfId="176"/>
    <cellStyle name="Normal 31" xfId="177"/>
    <cellStyle name="Normal 32" xfId="178"/>
    <cellStyle name="Normal 33" xfId="179"/>
    <cellStyle name="Normal 34" xfId="180"/>
    <cellStyle name="Normal 4" xfId="181"/>
    <cellStyle name="Normal 5" xfId="182"/>
    <cellStyle name="Normal 5 10" xfId="183"/>
    <cellStyle name="Normal 5 11" xfId="184"/>
    <cellStyle name="Normal 5 12" xfId="185"/>
    <cellStyle name="Normal 5 13" xfId="186"/>
    <cellStyle name="Normal 5 14" xfId="187"/>
    <cellStyle name="Normal 5 15" xfId="188"/>
    <cellStyle name="Normal 5 16" xfId="189"/>
    <cellStyle name="Normal 5 17" xfId="190"/>
    <cellStyle name="Normal 5 18" xfId="191"/>
    <cellStyle name="Normal 5 19" xfId="192"/>
    <cellStyle name="Normal 5 2" xfId="193"/>
    <cellStyle name="Normal 5 20" xfId="194"/>
    <cellStyle name="Normal 5 3" xfId="195"/>
    <cellStyle name="Normal 5 4" xfId="196"/>
    <cellStyle name="Normal 5 5" xfId="197"/>
    <cellStyle name="Normal 5 6" xfId="198"/>
    <cellStyle name="Normal 5 7" xfId="199"/>
    <cellStyle name="Normal 5 8" xfId="200"/>
    <cellStyle name="Normal 5 9" xfId="201"/>
    <cellStyle name="Normal 6" xfId="202"/>
    <cellStyle name="Normal 6 10" xfId="203"/>
    <cellStyle name="Normal 6 11" xfId="204"/>
    <cellStyle name="Normal 6 12" xfId="205"/>
    <cellStyle name="Normal 6 13" xfId="206"/>
    <cellStyle name="Normal 6 14" xfId="207"/>
    <cellStyle name="Normal 6 15" xfId="208"/>
    <cellStyle name="Normal 6 16" xfId="209"/>
    <cellStyle name="Normal 6 17" xfId="210"/>
    <cellStyle name="Normal 6 18" xfId="211"/>
    <cellStyle name="Normal 6 2" xfId="212"/>
    <cellStyle name="Normal 6 3" xfId="213"/>
    <cellStyle name="Normal 6 4" xfId="214"/>
    <cellStyle name="Normal 6 5" xfId="215"/>
    <cellStyle name="Normal 6 6" xfId="216"/>
    <cellStyle name="Normal 6 7" xfId="217"/>
    <cellStyle name="Normal 6 8" xfId="218"/>
    <cellStyle name="Normal 6 9" xfId="219"/>
    <cellStyle name="Normal 7" xfId="220"/>
    <cellStyle name="Normal 7 10" xfId="221"/>
    <cellStyle name="Normal 7 11" xfId="222"/>
    <cellStyle name="Normal 7 12" xfId="223"/>
    <cellStyle name="Normal 7 13" xfId="224"/>
    <cellStyle name="Normal 7 14" xfId="225"/>
    <cellStyle name="Normal 7 15" xfId="226"/>
    <cellStyle name="Normal 7 16" xfId="227"/>
    <cellStyle name="Normal 7 2" xfId="228"/>
    <cellStyle name="Normal 7 3" xfId="229"/>
    <cellStyle name="Normal 7 4" xfId="230"/>
    <cellStyle name="Normal 7 5" xfId="231"/>
    <cellStyle name="Normal 7 6" xfId="232"/>
    <cellStyle name="Normal 7 7" xfId="233"/>
    <cellStyle name="Normal 7 8" xfId="234"/>
    <cellStyle name="Normal 7 9" xfId="235"/>
    <cellStyle name="Normal 8" xfId="236"/>
    <cellStyle name="Normal 8 10" xfId="237"/>
    <cellStyle name="Normal 8 11" xfId="238"/>
    <cellStyle name="Normal 8 12" xfId="239"/>
    <cellStyle name="Normal 8 13" xfId="240"/>
    <cellStyle name="Normal 8 14" xfId="241"/>
    <cellStyle name="Normal 8 2" xfId="242"/>
    <cellStyle name="Normal 8 3" xfId="243"/>
    <cellStyle name="Normal 8 4" xfId="244"/>
    <cellStyle name="Normal 8 5" xfId="245"/>
    <cellStyle name="Normal 8 6" xfId="246"/>
    <cellStyle name="Normal 8 7" xfId="247"/>
    <cellStyle name="Normal 8 8" xfId="248"/>
    <cellStyle name="Normal 8 9" xfId="249"/>
    <cellStyle name="Normal 9" xfId="250"/>
    <cellStyle name="Normal 9 10" xfId="251"/>
    <cellStyle name="Normal 9 11" xfId="252"/>
    <cellStyle name="Normal 9 12" xfId="253"/>
    <cellStyle name="Normal 9 2" xfId="254"/>
    <cellStyle name="Normal 9 3" xfId="255"/>
    <cellStyle name="Normal 9 4" xfId="256"/>
    <cellStyle name="Normal 9 5" xfId="257"/>
    <cellStyle name="Normal 9 6" xfId="258"/>
    <cellStyle name="Normal 9 7" xfId="259"/>
    <cellStyle name="Normal 9 8" xfId="260"/>
    <cellStyle name="Normal 9 9" xfId="261"/>
    <cellStyle name="Normal_1. (Goc) THONG KE TT01 Toàn tỉnh Hoa Binh 6 tháng 2013" xfId="262"/>
    <cellStyle name="Normal_1. (Goc) THONG KE TT01 Toàn tỉnh Hoa Binh 6 tháng 2013_07" xfId="263"/>
    <cellStyle name="Normal_19 bieu m nhapcong thuc da sao 11 don vi " xfId="264"/>
    <cellStyle name="Normal_Bieu 8 - Bieu 19 toan tinh" xfId="265"/>
    <cellStyle name="Normal_Bieu mau TK tu 11 den 19 (ban phat hanh)" xfId="266"/>
    <cellStyle name="Normal_Sheet1" xfId="267"/>
    <cellStyle name="Normal_Sheet2" xfId="268"/>
    <cellStyle name="Note" xfId="269"/>
    <cellStyle name="Note 2" xfId="270"/>
    <cellStyle name="Note 3" xfId="271"/>
    <cellStyle name="Output" xfId="272"/>
    <cellStyle name="Output 2" xfId="273"/>
    <cellStyle name="Output 3" xfId="274"/>
    <cellStyle name="Percent" xfId="275"/>
    <cellStyle name="Percent 10" xfId="276"/>
    <cellStyle name="Percent 11" xfId="277"/>
    <cellStyle name="Percent 13" xfId="278"/>
    <cellStyle name="Percent 14" xfId="279"/>
    <cellStyle name="Percent 2" xfId="280"/>
    <cellStyle name="Percent 2 2" xfId="281"/>
    <cellStyle name="Percent 2 2 2" xfId="282"/>
    <cellStyle name="Percent 2 2 2 2" xfId="283"/>
    <cellStyle name="Percent 3" xfId="284"/>
    <cellStyle name="Title" xfId="285"/>
    <cellStyle name="Title 2" xfId="286"/>
    <cellStyle name="Title 3" xfId="287"/>
    <cellStyle name="Total" xfId="288"/>
    <cellStyle name="Total 2" xfId="289"/>
    <cellStyle name="Total 3" xfId="290"/>
    <cellStyle name="Warning Text" xfId="291"/>
    <cellStyle name="Warning Text 2" xfId="292"/>
    <cellStyle name="Warning Text 3" xfId="293"/>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240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240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97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097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4.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36" t="s">
        <v>26</v>
      </c>
      <c r="B1" s="636"/>
      <c r="C1" s="640" t="s">
        <v>72</v>
      </c>
      <c r="D1" s="640"/>
      <c r="E1" s="640"/>
      <c r="F1" s="637" t="s">
        <v>68</v>
      </c>
      <c r="G1" s="637"/>
      <c r="H1" s="637"/>
    </row>
    <row r="2" spans="1:8" ht="33.75" customHeight="1">
      <c r="A2" s="638" t="s">
        <v>75</v>
      </c>
      <c r="B2" s="638"/>
      <c r="C2" s="640"/>
      <c r="D2" s="640"/>
      <c r="E2" s="640"/>
      <c r="F2" s="639" t="s">
        <v>69</v>
      </c>
      <c r="G2" s="639"/>
      <c r="H2" s="639"/>
    </row>
    <row r="3" spans="1:8" ht="19.5" customHeight="1">
      <c r="A3" s="6" t="s">
        <v>63</v>
      </c>
      <c r="B3" s="6"/>
      <c r="C3" s="24"/>
      <c r="D3" s="24"/>
      <c r="E3" s="24"/>
      <c r="F3" s="639" t="s">
        <v>70</v>
      </c>
      <c r="G3" s="639"/>
      <c r="H3" s="639"/>
    </row>
    <row r="4" spans="1:8" s="7" customFormat="1" ht="19.5" customHeight="1">
      <c r="A4" s="6"/>
      <c r="B4" s="6"/>
      <c r="D4" s="8"/>
      <c r="F4" s="9" t="s">
        <v>71</v>
      </c>
      <c r="G4" s="9"/>
      <c r="H4" s="9"/>
    </row>
    <row r="5" spans="1:8" s="23" customFormat="1" ht="36" customHeight="1">
      <c r="A5" s="618" t="s">
        <v>55</v>
      </c>
      <c r="B5" s="619"/>
      <c r="C5" s="622" t="s">
        <v>66</v>
      </c>
      <c r="D5" s="623"/>
      <c r="E5" s="624" t="s">
        <v>65</v>
      </c>
      <c r="F5" s="624"/>
      <c r="G5" s="624"/>
      <c r="H5" s="625"/>
    </row>
    <row r="6" spans="1:8" s="23" customFormat="1" ht="20.25" customHeight="1">
      <c r="A6" s="620"/>
      <c r="B6" s="621"/>
      <c r="C6" s="626" t="s">
        <v>3</v>
      </c>
      <c r="D6" s="626" t="s">
        <v>73</v>
      </c>
      <c r="E6" s="628" t="s">
        <v>67</v>
      </c>
      <c r="F6" s="625"/>
      <c r="G6" s="628" t="s">
        <v>74</v>
      </c>
      <c r="H6" s="625"/>
    </row>
    <row r="7" spans="1:8" s="23" customFormat="1" ht="52.5" customHeight="1">
      <c r="A7" s="620"/>
      <c r="B7" s="621"/>
      <c r="C7" s="627"/>
      <c r="D7" s="627"/>
      <c r="E7" s="5" t="s">
        <v>3</v>
      </c>
      <c r="F7" s="5" t="s">
        <v>9</v>
      </c>
      <c r="G7" s="5" t="s">
        <v>3</v>
      </c>
      <c r="H7" s="5" t="s">
        <v>9</v>
      </c>
    </row>
    <row r="8" spans="1:8" ht="15" customHeight="1">
      <c r="A8" s="630" t="s">
        <v>6</v>
      </c>
      <c r="B8" s="631"/>
      <c r="C8" s="10">
        <v>1</v>
      </c>
      <c r="D8" s="10" t="s">
        <v>44</v>
      </c>
      <c r="E8" s="10" t="s">
        <v>47</v>
      </c>
      <c r="F8" s="10" t="s">
        <v>56</v>
      </c>
      <c r="G8" s="10" t="s">
        <v>57</v>
      </c>
      <c r="H8" s="10" t="s">
        <v>58</v>
      </c>
    </row>
    <row r="9" spans="1:8" ht="26.25" customHeight="1">
      <c r="A9" s="632" t="s">
        <v>33</v>
      </c>
      <c r="B9" s="633"/>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34" t="s">
        <v>54</v>
      </c>
      <c r="C16" s="634"/>
      <c r="D16" s="26"/>
      <c r="E16" s="615" t="s">
        <v>19</v>
      </c>
      <c r="F16" s="615"/>
      <c r="G16" s="615"/>
      <c r="H16" s="615"/>
    </row>
    <row r="17" spans="2:8" ht="15.75" customHeight="1">
      <c r="B17" s="634"/>
      <c r="C17" s="634"/>
      <c r="D17" s="26"/>
      <c r="E17" s="616" t="s">
        <v>38</v>
      </c>
      <c r="F17" s="616"/>
      <c r="G17" s="616"/>
      <c r="H17" s="616"/>
    </row>
    <row r="18" spans="2:8" s="27" customFormat="1" ht="15.75" customHeight="1">
      <c r="B18" s="634"/>
      <c r="C18" s="634"/>
      <c r="D18" s="28"/>
      <c r="E18" s="617" t="s">
        <v>53</v>
      </c>
      <c r="F18" s="617"/>
      <c r="G18" s="617"/>
      <c r="H18" s="617"/>
    </row>
    <row r="20" ht="15.75">
      <c r="B20" s="19"/>
    </row>
    <row r="22" ht="15.75" hidden="1">
      <c r="A22" s="20" t="s">
        <v>41</v>
      </c>
    </row>
    <row r="23" spans="1:3" ht="15.75" hidden="1">
      <c r="A23" s="21"/>
      <c r="B23" s="635" t="s">
        <v>48</v>
      </c>
      <c r="C23" s="635"/>
    </row>
    <row r="24" spans="1:8" ht="15.75" customHeight="1" hidden="1">
      <c r="A24" s="22" t="s">
        <v>25</v>
      </c>
      <c r="B24" s="629" t="s">
        <v>51</v>
      </c>
      <c r="C24" s="629"/>
      <c r="D24" s="22"/>
      <c r="E24" s="22"/>
      <c r="F24" s="22"/>
      <c r="G24" s="22"/>
      <c r="H24" s="22"/>
    </row>
    <row r="25" spans="1:8" ht="15" customHeight="1" hidden="1">
      <c r="A25" s="22"/>
      <c r="B25" s="629" t="s">
        <v>52</v>
      </c>
      <c r="C25" s="629"/>
      <c r="D25" s="629"/>
      <c r="E25" s="22"/>
      <c r="F25" s="22"/>
      <c r="G25" s="22"/>
      <c r="H25" s="22"/>
    </row>
    <row r="26" spans="2:3" ht="15.75">
      <c r="B26" s="23"/>
      <c r="C26" s="23"/>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800" t="s">
        <v>223</v>
      </c>
      <c r="B1" s="800"/>
      <c r="C1" s="800"/>
      <c r="D1" s="803" t="s">
        <v>339</v>
      </c>
      <c r="E1" s="803"/>
      <c r="F1" s="803"/>
      <c r="G1" s="803"/>
      <c r="H1" s="803"/>
      <c r="I1" s="803"/>
      <c r="J1" s="191" t="s">
        <v>340</v>
      </c>
      <c r="K1" s="322"/>
      <c r="L1" s="322"/>
    </row>
    <row r="2" spans="1:12" ht="18.75" customHeight="1">
      <c r="A2" s="801" t="s">
        <v>298</v>
      </c>
      <c r="B2" s="801"/>
      <c r="C2" s="801"/>
      <c r="D2" s="895" t="s">
        <v>224</v>
      </c>
      <c r="E2" s="895"/>
      <c r="F2" s="895"/>
      <c r="G2" s="895"/>
      <c r="H2" s="895"/>
      <c r="I2" s="895"/>
      <c r="J2" s="800" t="s">
        <v>341</v>
      </c>
      <c r="K2" s="800"/>
      <c r="L2" s="800"/>
    </row>
    <row r="3" spans="1:12" ht="17.25">
      <c r="A3" s="801" t="s">
        <v>250</v>
      </c>
      <c r="B3" s="801"/>
      <c r="C3" s="801"/>
      <c r="D3" s="896" t="s">
        <v>342</v>
      </c>
      <c r="E3" s="897"/>
      <c r="F3" s="897"/>
      <c r="G3" s="897"/>
      <c r="H3" s="897"/>
      <c r="I3" s="897"/>
      <c r="J3" s="194" t="s">
        <v>358</v>
      </c>
      <c r="K3" s="194"/>
      <c r="L3" s="194"/>
    </row>
    <row r="4" spans="1:12" ht="15.75">
      <c r="A4" s="899" t="s">
        <v>343</v>
      </c>
      <c r="B4" s="899"/>
      <c r="C4" s="899"/>
      <c r="D4" s="900"/>
      <c r="E4" s="900"/>
      <c r="F4" s="900"/>
      <c r="G4" s="900"/>
      <c r="H4" s="900"/>
      <c r="I4" s="900"/>
      <c r="J4" s="796" t="s">
        <v>300</v>
      </c>
      <c r="K4" s="796"/>
      <c r="L4" s="796"/>
    </row>
    <row r="5" spans="1:13" ht="15.75">
      <c r="A5" s="324"/>
      <c r="B5" s="324"/>
      <c r="C5" s="325"/>
      <c r="D5" s="325"/>
      <c r="E5" s="193"/>
      <c r="J5" s="326" t="s">
        <v>344</v>
      </c>
      <c r="K5" s="241"/>
      <c r="L5" s="241"/>
      <c r="M5" s="241"/>
    </row>
    <row r="6" spans="1:13" s="329" customFormat="1" ht="24.75" customHeight="1">
      <c r="A6" s="903" t="s">
        <v>55</v>
      </c>
      <c r="B6" s="904"/>
      <c r="C6" s="898" t="s">
        <v>345</v>
      </c>
      <c r="D6" s="898"/>
      <c r="E6" s="898"/>
      <c r="F6" s="898"/>
      <c r="G6" s="898"/>
      <c r="H6" s="898"/>
      <c r="I6" s="898" t="s">
        <v>225</v>
      </c>
      <c r="J6" s="898"/>
      <c r="K6" s="898"/>
      <c r="L6" s="898"/>
      <c r="M6" s="328"/>
    </row>
    <row r="7" spans="1:13" s="329" customFormat="1" ht="17.25" customHeight="1">
      <c r="A7" s="905"/>
      <c r="B7" s="906"/>
      <c r="C7" s="898" t="s">
        <v>31</v>
      </c>
      <c r="D7" s="898"/>
      <c r="E7" s="898" t="s">
        <v>7</v>
      </c>
      <c r="F7" s="898"/>
      <c r="G7" s="898"/>
      <c r="H7" s="898"/>
      <c r="I7" s="898" t="s">
        <v>226</v>
      </c>
      <c r="J7" s="898"/>
      <c r="K7" s="898" t="s">
        <v>227</v>
      </c>
      <c r="L7" s="898"/>
      <c r="M7" s="328"/>
    </row>
    <row r="8" spans="1:12" s="329" customFormat="1" ht="27.75" customHeight="1">
      <c r="A8" s="905"/>
      <c r="B8" s="906"/>
      <c r="C8" s="898"/>
      <c r="D8" s="898"/>
      <c r="E8" s="898" t="s">
        <v>228</v>
      </c>
      <c r="F8" s="898"/>
      <c r="G8" s="898" t="s">
        <v>229</v>
      </c>
      <c r="H8" s="898"/>
      <c r="I8" s="898"/>
      <c r="J8" s="898"/>
      <c r="K8" s="898"/>
      <c r="L8" s="898"/>
    </row>
    <row r="9" spans="1:12" s="329" customFormat="1" ht="24.75" customHeight="1">
      <c r="A9" s="907"/>
      <c r="B9" s="908"/>
      <c r="C9" s="327" t="s">
        <v>230</v>
      </c>
      <c r="D9" s="327" t="s">
        <v>9</v>
      </c>
      <c r="E9" s="327" t="s">
        <v>3</v>
      </c>
      <c r="F9" s="327" t="s">
        <v>231</v>
      </c>
      <c r="G9" s="327" t="s">
        <v>3</v>
      </c>
      <c r="H9" s="327" t="s">
        <v>231</v>
      </c>
      <c r="I9" s="327" t="s">
        <v>3</v>
      </c>
      <c r="J9" s="327" t="s">
        <v>231</v>
      </c>
      <c r="K9" s="327" t="s">
        <v>3</v>
      </c>
      <c r="L9" s="327" t="s">
        <v>231</v>
      </c>
    </row>
    <row r="10" spans="1:12" s="331" customFormat="1" ht="15.75">
      <c r="A10" s="831" t="s">
        <v>6</v>
      </c>
      <c r="B10" s="832"/>
      <c r="C10" s="330">
        <v>1</v>
      </c>
      <c r="D10" s="330">
        <v>2</v>
      </c>
      <c r="E10" s="330">
        <v>3</v>
      </c>
      <c r="F10" s="330">
        <v>4</v>
      </c>
      <c r="G10" s="330">
        <v>5</v>
      </c>
      <c r="H10" s="330">
        <v>6</v>
      </c>
      <c r="I10" s="330">
        <v>7</v>
      </c>
      <c r="J10" s="330">
        <v>8</v>
      </c>
      <c r="K10" s="330">
        <v>9</v>
      </c>
      <c r="L10" s="330">
        <v>10</v>
      </c>
    </row>
    <row r="11" spans="1:12" s="331" customFormat="1" ht="30.75" customHeight="1">
      <c r="A11" s="820" t="s">
        <v>295</v>
      </c>
      <c r="B11" s="821"/>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807" t="s">
        <v>296</v>
      </c>
      <c r="B12" s="808"/>
      <c r="C12" s="249">
        <v>0</v>
      </c>
      <c r="D12" s="249">
        <v>0</v>
      </c>
      <c r="E12" s="249">
        <v>0</v>
      </c>
      <c r="F12" s="249">
        <v>0</v>
      </c>
      <c r="G12" s="249">
        <v>0</v>
      </c>
      <c r="H12" s="249">
        <v>0</v>
      </c>
      <c r="I12" s="249">
        <v>0</v>
      </c>
      <c r="J12" s="249">
        <v>0</v>
      </c>
      <c r="K12" s="249">
        <v>0</v>
      </c>
      <c r="L12" s="249">
        <v>0</v>
      </c>
    </row>
    <row r="13" spans="1:32" s="331" customFormat="1" ht="17.25" customHeight="1">
      <c r="A13" s="815" t="s">
        <v>30</v>
      </c>
      <c r="B13" s="809"/>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265</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297</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268</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269</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270</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271</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276</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278</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279</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280</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282</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812" t="s">
        <v>283</v>
      </c>
      <c r="C28" s="812"/>
      <c r="D28" s="812"/>
      <c r="E28" s="204"/>
      <c r="F28" s="258"/>
      <c r="G28" s="258"/>
      <c r="H28" s="811" t="s">
        <v>283</v>
      </c>
      <c r="I28" s="811"/>
      <c r="J28" s="811"/>
      <c r="K28" s="811"/>
      <c r="L28" s="811"/>
      <c r="AG28" s="192" t="s">
        <v>284</v>
      </c>
      <c r="AI28" s="190">
        <f>82/88</f>
        <v>0.9318181818181818</v>
      </c>
    </row>
    <row r="29" spans="1:12" s="192" customFormat="1" ht="19.5" customHeight="1">
      <c r="A29" s="202"/>
      <c r="B29" s="813" t="s">
        <v>232</v>
      </c>
      <c r="C29" s="813"/>
      <c r="D29" s="813"/>
      <c r="E29" s="204"/>
      <c r="F29" s="205"/>
      <c r="G29" s="205"/>
      <c r="H29" s="814" t="s">
        <v>150</v>
      </c>
      <c r="I29" s="814"/>
      <c r="J29" s="814"/>
      <c r="K29" s="814"/>
      <c r="L29" s="814"/>
    </row>
    <row r="30" spans="1:12" s="196" customFormat="1" ht="15" customHeight="1">
      <c r="A30" s="202"/>
      <c r="B30" s="902"/>
      <c r="C30" s="902"/>
      <c r="D30" s="902"/>
      <c r="E30" s="204"/>
      <c r="F30" s="205"/>
      <c r="G30" s="205"/>
      <c r="H30" s="775"/>
      <c r="I30" s="775"/>
      <c r="J30" s="775"/>
      <c r="K30" s="775"/>
      <c r="L30" s="775"/>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909" t="s">
        <v>287</v>
      </c>
      <c r="C33" s="909"/>
      <c r="D33" s="909"/>
      <c r="E33" s="336"/>
      <c r="F33" s="336"/>
      <c r="G33" s="336"/>
      <c r="H33" s="336"/>
      <c r="I33" s="336"/>
      <c r="J33" s="337" t="s">
        <v>287</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901" t="s">
        <v>233</v>
      </c>
      <c r="C37" s="901"/>
      <c r="D37" s="901"/>
      <c r="E37" s="901"/>
      <c r="F37" s="901"/>
      <c r="G37" s="901"/>
      <c r="H37" s="901"/>
      <c r="I37" s="901"/>
      <c r="J37" s="901"/>
      <c r="K37" s="339"/>
      <c r="L37" s="294"/>
      <c r="M37" s="265"/>
      <c r="N37" s="265"/>
      <c r="O37" s="265"/>
    </row>
    <row r="38" spans="2:12" s="184" customFormat="1" ht="18.75" hidden="1">
      <c r="B38" s="236" t="s">
        <v>234</v>
      </c>
      <c r="C38" s="186"/>
      <c r="D38" s="186"/>
      <c r="E38" s="186"/>
      <c r="F38" s="186"/>
      <c r="G38" s="186"/>
      <c r="H38" s="186"/>
      <c r="I38" s="186"/>
      <c r="J38" s="186"/>
      <c r="K38" s="338"/>
      <c r="L38" s="186"/>
    </row>
    <row r="39" spans="2:12" ht="18.75" hidden="1">
      <c r="B39" s="340" t="s">
        <v>235</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78" t="s">
        <v>329</v>
      </c>
      <c r="C41" s="678"/>
      <c r="D41" s="678"/>
      <c r="E41" s="210"/>
      <c r="F41" s="210"/>
      <c r="G41" s="182"/>
      <c r="H41" s="679" t="s">
        <v>241</v>
      </c>
      <c r="I41" s="679"/>
      <c r="J41" s="679"/>
      <c r="K41" s="679"/>
      <c r="L41" s="679"/>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910" t="s">
        <v>371</v>
      </c>
      <c r="M1" s="911"/>
      <c r="N1" s="911"/>
      <c r="O1" s="365"/>
      <c r="P1" s="365"/>
      <c r="Q1" s="365"/>
      <c r="R1" s="365"/>
      <c r="S1" s="365"/>
      <c r="T1" s="365"/>
      <c r="U1" s="365"/>
      <c r="V1" s="365"/>
      <c r="W1" s="365"/>
      <c r="X1" s="365"/>
      <c r="Y1" s="366"/>
    </row>
    <row r="2" spans="11:17" ht="34.5" customHeight="1">
      <c r="K2" s="349"/>
      <c r="L2" s="912" t="s">
        <v>378</v>
      </c>
      <c r="M2" s="913"/>
      <c r="N2" s="914"/>
      <c r="O2" s="29"/>
      <c r="P2" s="351"/>
      <c r="Q2" s="347"/>
    </row>
    <row r="3" spans="11:18" ht="31.5" customHeight="1">
      <c r="K3" s="349"/>
      <c r="L3" s="354" t="s">
        <v>387</v>
      </c>
      <c r="M3" s="355">
        <f>'06'!C11</f>
        <v>11202</v>
      </c>
      <c r="N3" s="355"/>
      <c r="O3" s="355"/>
      <c r="P3" s="352"/>
      <c r="Q3" s="348"/>
      <c r="R3" s="345"/>
    </row>
    <row r="4" spans="11:18" ht="30" customHeight="1">
      <c r="K4" s="349"/>
      <c r="L4" s="356" t="s">
        <v>372</v>
      </c>
      <c r="M4" s="357">
        <f>'06'!D11</f>
        <v>8049</v>
      </c>
      <c r="N4" s="355"/>
      <c r="O4" s="355"/>
      <c r="P4" s="352"/>
      <c r="Q4" s="348"/>
      <c r="R4" s="345"/>
    </row>
    <row r="5" spans="11:18" ht="31.5" customHeight="1">
      <c r="K5" s="349"/>
      <c r="L5" s="356" t="s">
        <v>373</v>
      </c>
      <c r="M5" s="357">
        <f>'06'!E11</f>
        <v>3153</v>
      </c>
      <c r="N5" s="355"/>
      <c r="O5" s="355"/>
      <c r="P5" s="352"/>
      <c r="Q5" s="348"/>
      <c r="R5" s="345"/>
    </row>
    <row r="6" spans="11:18" ht="27" customHeight="1">
      <c r="K6" s="349"/>
      <c r="L6" s="354" t="s">
        <v>374</v>
      </c>
      <c r="M6" s="355">
        <f>'06'!F11</f>
        <v>53</v>
      </c>
      <c r="N6" s="355"/>
      <c r="O6" s="355"/>
      <c r="P6" s="352"/>
      <c r="Q6" s="348"/>
      <c r="R6" s="345"/>
    </row>
    <row r="7" spans="11:18" s="342" customFormat="1" ht="30" customHeight="1">
      <c r="K7" s="350"/>
      <c r="L7" s="358" t="s">
        <v>389</v>
      </c>
      <c r="M7" s="355">
        <f>'06'!H11</f>
        <v>11149</v>
      </c>
      <c r="N7" s="355"/>
      <c r="O7" s="355"/>
      <c r="P7" s="352"/>
      <c r="Q7" s="348"/>
      <c r="R7" s="345"/>
    </row>
    <row r="8" spans="11:18" ht="30.75" customHeight="1">
      <c r="K8" s="349"/>
      <c r="L8" s="359" t="s">
        <v>388</v>
      </c>
      <c r="M8" s="360">
        <f>'[7]M6 Tong hop Viec CHV '!$C$12</f>
        <v>1489</v>
      </c>
      <c r="N8" s="355"/>
      <c r="O8" s="355"/>
      <c r="P8" s="352"/>
      <c r="Q8" s="348"/>
      <c r="R8" s="345"/>
    </row>
    <row r="9" spans="11:18" ht="33" customHeight="1">
      <c r="K9" s="349"/>
      <c r="L9" s="367" t="s">
        <v>391</v>
      </c>
      <c r="M9" s="368">
        <f>(M7-M8)/M8</f>
        <v>6.487575554063129</v>
      </c>
      <c r="N9" s="355"/>
      <c r="O9" s="355"/>
      <c r="P9" s="352"/>
      <c r="Q9" s="348"/>
      <c r="R9" s="345"/>
    </row>
    <row r="10" spans="11:18" ht="33" customHeight="1">
      <c r="K10" s="349"/>
      <c r="L10" s="354" t="s">
        <v>390</v>
      </c>
      <c r="M10" s="355">
        <f>'06'!I11</f>
        <v>5877</v>
      </c>
      <c r="N10" s="355" t="s">
        <v>375</v>
      </c>
      <c r="O10" s="361">
        <f>M10/M7</f>
        <v>0.5271324782491703</v>
      </c>
      <c r="P10" s="352"/>
      <c r="Q10" s="348"/>
      <c r="R10" s="345"/>
    </row>
    <row r="11" spans="11:18" ht="22.5" customHeight="1">
      <c r="K11" s="349"/>
      <c r="L11" s="354" t="s">
        <v>392</v>
      </c>
      <c r="M11" s="355">
        <f>'06'!Q11</f>
        <v>5272</v>
      </c>
      <c r="N11" s="355" t="s">
        <v>375</v>
      </c>
      <c r="O11" s="361">
        <f>M11/M7</f>
        <v>0.4728675217508297</v>
      </c>
      <c r="P11" s="352"/>
      <c r="Q11" s="348"/>
      <c r="R11" s="345"/>
    </row>
    <row r="12" spans="11:18" ht="34.5" customHeight="1">
      <c r="K12" s="349"/>
      <c r="L12" s="354" t="s">
        <v>393</v>
      </c>
      <c r="M12" s="355">
        <f>'06'!J11+'06'!K11</f>
        <v>2043</v>
      </c>
      <c r="N12" s="354"/>
      <c r="O12" s="354"/>
      <c r="P12" s="346"/>
      <c r="R12" s="346"/>
    </row>
    <row r="13" spans="11:18" ht="33.75" customHeight="1">
      <c r="K13" s="349"/>
      <c r="L13" s="354" t="s">
        <v>394</v>
      </c>
      <c r="M13" s="361">
        <f>M12/M7</f>
        <v>0.18324513409274373</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395</v>
      </c>
      <c r="M16" s="360">
        <f>'[7]M6 Tong hop Viec CHV '!$H$12+'[7]M6 Tong hop Viec CHV '!$I$12+'[7]M6 Tong hop Viec CHV '!$K$12</f>
        <v>749</v>
      </c>
      <c r="N16" s="355"/>
      <c r="O16" s="355"/>
      <c r="P16" s="352"/>
      <c r="R16" s="346"/>
    </row>
    <row r="17" spans="11:18" ht="24.75" customHeight="1">
      <c r="K17" s="349"/>
      <c r="L17" s="367" t="s">
        <v>396</v>
      </c>
      <c r="M17" s="362">
        <f>M16/M8</f>
        <v>0.5030221625251847</v>
      </c>
      <c r="N17" s="355"/>
      <c r="O17" s="355"/>
      <c r="P17" s="352"/>
      <c r="R17" s="346"/>
    </row>
    <row r="18" spans="11:18" ht="26.25" customHeight="1">
      <c r="K18" s="349"/>
      <c r="L18" s="367" t="s">
        <v>376</v>
      </c>
      <c r="M18" s="368">
        <f>M13-M17</f>
        <v>-0.319777028432441</v>
      </c>
      <c r="N18" s="355"/>
      <c r="O18" s="355"/>
      <c r="P18" s="352"/>
      <c r="R18" s="346"/>
    </row>
    <row r="19" spans="11:18" ht="24.75" customHeight="1">
      <c r="K19" s="349"/>
      <c r="L19" s="354" t="s">
        <v>397</v>
      </c>
      <c r="M19" s="355">
        <f>'06'!J11</f>
        <v>1960</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398</v>
      </c>
      <c r="M26" s="361">
        <f>M19/'06'!I11</f>
        <v>0.3335034881742386</v>
      </c>
      <c r="N26" s="355"/>
      <c r="O26" s="355"/>
      <c r="P26" s="352"/>
      <c r="R26" s="346"/>
    </row>
    <row r="27" spans="11:18" ht="24.75" customHeight="1">
      <c r="K27" s="349"/>
      <c r="L27" s="359" t="s">
        <v>399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400</v>
      </c>
      <c r="M30" s="361">
        <f>M26-M27</f>
        <v>-0.3391583823293586</v>
      </c>
      <c r="N30" s="355"/>
      <c r="O30" s="355"/>
      <c r="P30" s="352"/>
      <c r="R30" s="346"/>
    </row>
    <row r="31" spans="11:18" ht="24.75" customHeight="1">
      <c r="K31" s="349"/>
      <c r="L31" s="354" t="s">
        <v>401</v>
      </c>
      <c r="M31" s="355">
        <f>'06'!R11</f>
        <v>9106</v>
      </c>
      <c r="N31" s="355"/>
      <c r="O31" s="355"/>
      <c r="P31" s="352"/>
      <c r="R31" s="346"/>
    </row>
    <row r="32" spans="11:18" ht="24.75" customHeight="1">
      <c r="K32" s="349"/>
      <c r="L32" s="359" t="s">
        <v>402</v>
      </c>
      <c r="M32" s="360">
        <f>'[7]M6 Tong hop Viec CHV '!$R$12</f>
        <v>719</v>
      </c>
      <c r="N32" s="355"/>
      <c r="O32" s="355"/>
      <c r="P32" s="352"/>
      <c r="R32" s="346"/>
    </row>
    <row r="33" spans="11:18" ht="24.75" customHeight="1">
      <c r="K33" s="349"/>
      <c r="L33" s="367" t="s">
        <v>403</v>
      </c>
      <c r="M33" s="369">
        <f>M31-M32</f>
        <v>8387</v>
      </c>
      <c r="N33" s="369" t="s">
        <v>377</v>
      </c>
      <c r="O33" s="368">
        <f>(M31-M32)/M32</f>
        <v>11.66481223922114</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379</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404</v>
      </c>
      <c r="M42" s="355">
        <f>'07'!C11</f>
        <v>3808481141</v>
      </c>
      <c r="N42" s="355"/>
      <c r="O42" s="355"/>
      <c r="P42" s="346"/>
      <c r="R42" s="346"/>
    </row>
    <row r="43" spans="11:18" ht="24.75" customHeight="1">
      <c r="K43" s="349"/>
      <c r="L43" s="363" t="s">
        <v>98</v>
      </c>
      <c r="M43" s="355">
        <f>'07'!D11</f>
        <v>3394635352</v>
      </c>
      <c r="N43" s="355"/>
      <c r="O43" s="355"/>
      <c r="P43" s="346"/>
      <c r="R43" s="346"/>
    </row>
    <row r="44" spans="11:18" ht="24.75" customHeight="1">
      <c r="K44" s="349"/>
      <c r="L44" s="363" t="s">
        <v>373</v>
      </c>
      <c r="M44" s="355">
        <f>'07'!E11</f>
        <v>413845789</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405</v>
      </c>
      <c r="M47" s="355">
        <f>'07'!F11</f>
        <v>5984668</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406</v>
      </c>
      <c r="M50" s="355">
        <f>'07'!H11</f>
        <v>3802496473</v>
      </c>
      <c r="N50" s="355"/>
      <c r="O50" s="355"/>
      <c r="P50" s="346"/>
      <c r="R50" s="346"/>
    </row>
    <row r="51" spans="11:18" ht="24.75" customHeight="1">
      <c r="K51" s="349"/>
      <c r="L51" s="364" t="s">
        <v>407</v>
      </c>
      <c r="M51" s="360">
        <f>'[7]M7 Thop tien CHV'!$C$12</f>
        <v>54227822.442</v>
      </c>
      <c r="N51" s="355"/>
      <c r="O51" s="355"/>
      <c r="P51" s="346"/>
      <c r="R51" s="346"/>
    </row>
    <row r="52" spans="11:18" ht="24.75" customHeight="1">
      <c r="K52" s="349"/>
      <c r="L52" s="377" t="s">
        <v>380</v>
      </c>
      <c r="M52" s="369">
        <f>M50-M51</f>
        <v>3748268650.558</v>
      </c>
      <c r="N52" s="355"/>
      <c r="O52" s="355"/>
      <c r="P52" s="346"/>
      <c r="R52" s="346"/>
    </row>
    <row r="53" spans="11:18" ht="24.75" customHeight="1">
      <c r="K53" s="349"/>
      <c r="L53" s="377" t="s">
        <v>381</v>
      </c>
      <c r="M53" s="368">
        <f>(M52/M51)</f>
        <v>69.1207664583435</v>
      </c>
      <c r="N53" s="355"/>
      <c r="O53" s="355"/>
      <c r="P53" s="346"/>
      <c r="R53" s="346"/>
    </row>
    <row r="54" spans="11:18" ht="24.75" customHeight="1">
      <c r="K54" s="349"/>
      <c r="L54" s="363" t="s">
        <v>408</v>
      </c>
      <c r="M54" s="355">
        <f>'07'!I11</f>
        <v>2380650415</v>
      </c>
      <c r="N54" s="355" t="s">
        <v>382</v>
      </c>
      <c r="O54" s="361">
        <f>'07'!I11/'07'!H11</f>
        <v>0.626075640544059</v>
      </c>
      <c r="P54" s="346"/>
      <c r="R54" s="346"/>
    </row>
    <row r="55" spans="11:18" ht="24.75" customHeight="1">
      <c r="K55" s="349"/>
      <c r="L55" s="363" t="s">
        <v>409</v>
      </c>
      <c r="M55" s="355">
        <f>'07'!R11</f>
        <v>1421846058</v>
      </c>
      <c r="N55" s="355" t="s">
        <v>382</v>
      </c>
      <c r="O55" s="361">
        <f>'07'!R11/'07'!H11</f>
        <v>0.37392435945594105</v>
      </c>
      <c r="P55" s="346"/>
      <c r="R55" s="346"/>
    </row>
    <row r="56" spans="11:18" ht="24.75" customHeight="1">
      <c r="K56" s="349"/>
      <c r="L56" s="363" t="s">
        <v>410</v>
      </c>
      <c r="M56" s="355">
        <f>'07'!J11+'07'!K11+'07'!L11</f>
        <v>117519087</v>
      </c>
      <c r="N56" s="355" t="s">
        <v>382</v>
      </c>
      <c r="O56" s="361">
        <f>M56/'07'!H11</f>
        <v>0.030905771467365145</v>
      </c>
      <c r="P56" s="346"/>
      <c r="R56" s="346"/>
    </row>
    <row r="57" spans="11:18" ht="24.75" customHeight="1">
      <c r="K57" s="349"/>
      <c r="L57" s="364" t="s">
        <v>411</v>
      </c>
      <c r="M57" s="360">
        <f>'[7]M7 Thop tien CHV'!$H$12+'[7]M7 Thop tien CHV'!$I$12+'[7]M7 Thop tien CHV'!$K$12</f>
        <v>2217726.5</v>
      </c>
      <c r="N57" s="360" t="s">
        <v>382</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412</v>
      </c>
      <c r="M60" s="368">
        <f>O56-O57</f>
        <v>-0.00999069828065019</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413</v>
      </c>
      <c r="M63" s="355">
        <f>'07'!J11</f>
        <v>93048833</v>
      </c>
      <c r="N63" s="355" t="s">
        <v>383</v>
      </c>
      <c r="O63" s="361">
        <f>'07'!J11/'07'!I11</f>
        <v>0.03908546690169964</v>
      </c>
      <c r="P63" s="346"/>
      <c r="R63" s="346"/>
    </row>
    <row r="64" spans="11:16" ht="24.75" customHeight="1">
      <c r="K64" s="349"/>
      <c r="L64" s="364" t="s">
        <v>414</v>
      </c>
      <c r="M64" s="360">
        <f>'[7]M7 Thop tien CHV'!$H$12</f>
        <v>2212774.5</v>
      </c>
      <c r="N64" s="360" t="s">
        <v>384</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415</v>
      </c>
      <c r="M68" s="368">
        <f>O63-O64</f>
        <v>0.024841965581885984</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416</v>
      </c>
      <c r="M72" s="355">
        <f>'07'!S11</f>
        <v>3684977386</v>
      </c>
      <c r="N72" s="355"/>
      <c r="O72" s="355"/>
      <c r="P72" s="346"/>
    </row>
    <row r="73" spans="11:16" ht="24.75" customHeight="1">
      <c r="K73" s="349"/>
      <c r="L73" s="364" t="s">
        <v>417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385</v>
      </c>
      <c r="M76" s="369">
        <f>M72-M73</f>
        <v>3636850575.638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386</v>
      </c>
      <c r="M79" s="368">
        <f>M76/M73</f>
        <v>75.56807833892077</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D7" sqref="D7"/>
    </sheetView>
  </sheetViews>
  <sheetFormatPr defaultColWidth="9.00390625" defaultRowHeight="15.75"/>
  <cols>
    <col min="1" max="1" width="23.50390625" style="0" customWidth="1"/>
    <col min="2" max="2" width="66.125" style="0" customWidth="1"/>
  </cols>
  <sheetData>
    <row r="2" spans="1:2" ht="62.25" customHeight="1">
      <c r="A2" s="915" t="s">
        <v>431</v>
      </c>
      <c r="B2" s="915"/>
    </row>
    <row r="3" spans="1:2" ht="22.5" customHeight="1">
      <c r="A3" s="379" t="s">
        <v>419</v>
      </c>
      <c r="B3" s="386" t="s">
        <v>589</v>
      </c>
    </row>
    <row r="4" spans="1:2" ht="22.5" customHeight="1">
      <c r="A4" s="379" t="s">
        <v>418</v>
      </c>
      <c r="B4" s="380" t="s">
        <v>540</v>
      </c>
    </row>
    <row r="5" spans="1:2" ht="22.5" customHeight="1">
      <c r="A5" s="379" t="s">
        <v>420</v>
      </c>
      <c r="B5" s="385" t="s">
        <v>539</v>
      </c>
    </row>
    <row r="6" spans="1:2" ht="22.5" customHeight="1">
      <c r="A6" s="379" t="s">
        <v>421</v>
      </c>
      <c r="B6" s="385" t="s">
        <v>433</v>
      </c>
    </row>
    <row r="7" spans="1:2" ht="34.5" customHeight="1">
      <c r="A7" s="379" t="s">
        <v>422</v>
      </c>
      <c r="B7" s="395" t="s">
        <v>541</v>
      </c>
    </row>
    <row r="8" spans="1:2" ht="15.75">
      <c r="A8" s="381" t="s">
        <v>423</v>
      </c>
      <c r="B8" s="396" t="s">
        <v>590</v>
      </c>
    </row>
    <row r="10" spans="1:2" ht="62.25" customHeight="1">
      <c r="A10" s="916" t="s">
        <v>432</v>
      </c>
      <c r="B10" s="916"/>
    </row>
    <row r="11" spans="1:2" ht="15.75">
      <c r="A11" s="917" t="s">
        <v>430</v>
      </c>
      <c r="B11" s="917"/>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U120"/>
  <sheetViews>
    <sheetView showZeros="0" tabSelected="1" view="pageBreakPreview" zoomScale="85" zoomScaleSheetLayoutView="85" zoomScalePageLayoutView="0" workbookViewId="0" topLeftCell="A1">
      <selection activeCell="T13" sqref="T13"/>
    </sheetView>
  </sheetViews>
  <sheetFormatPr defaultColWidth="9.00390625" defaultRowHeight="15.75"/>
  <cols>
    <col min="1" max="1" width="4.875" style="387" customWidth="1"/>
    <col min="2" max="2" width="20.375" style="387" customWidth="1"/>
    <col min="3" max="3" width="9.625" style="410" customWidth="1"/>
    <col min="4" max="5" width="7.375" style="405" customWidth="1"/>
    <col min="6" max="6" width="6.50390625" style="405" customWidth="1"/>
    <col min="7" max="7" width="6.75390625" style="405" customWidth="1"/>
    <col min="8" max="8" width="8.875" style="410" customWidth="1"/>
    <col min="9" max="9" width="7.875" style="410" customWidth="1"/>
    <col min="10" max="11" width="6.25390625" style="405" customWidth="1"/>
    <col min="12" max="12" width="5.75390625" style="405" customWidth="1"/>
    <col min="13" max="14" width="5.875" style="405" customWidth="1"/>
    <col min="15" max="15" width="6.125" style="405" customWidth="1"/>
    <col min="16" max="16" width="5.25390625" style="405" customWidth="1"/>
    <col min="17" max="17" width="7.50390625" style="410" customWidth="1"/>
    <col min="18" max="18" width="8.75390625" style="410" customWidth="1"/>
    <col min="19" max="19" width="8.625" style="405" customWidth="1"/>
    <col min="20" max="20" width="9.00390625" style="398" customWidth="1"/>
    <col min="21" max="16384" width="9.00390625" style="23" customWidth="1"/>
  </cols>
  <sheetData>
    <row r="1" spans="1:19" ht="20.25" customHeight="1">
      <c r="A1" s="387" t="s">
        <v>27</v>
      </c>
      <c r="C1" s="404"/>
      <c r="E1" s="927" t="s">
        <v>64</v>
      </c>
      <c r="F1" s="927"/>
      <c r="G1" s="927"/>
      <c r="H1" s="927"/>
      <c r="I1" s="927"/>
      <c r="J1" s="927"/>
      <c r="K1" s="927"/>
      <c r="L1" s="927"/>
      <c r="M1" s="927"/>
      <c r="N1" s="927"/>
      <c r="O1" s="927"/>
      <c r="P1" s="407" t="s">
        <v>425</v>
      </c>
      <c r="Q1" s="408"/>
      <c r="R1" s="408"/>
      <c r="S1" s="407"/>
    </row>
    <row r="2" spans="1:19" ht="17.25" customHeight="1">
      <c r="A2" s="932" t="s">
        <v>237</v>
      </c>
      <c r="B2" s="932"/>
      <c r="C2" s="932"/>
      <c r="D2" s="932"/>
      <c r="E2" s="928" t="s">
        <v>34</v>
      </c>
      <c r="F2" s="928"/>
      <c r="G2" s="928"/>
      <c r="H2" s="928"/>
      <c r="I2" s="928"/>
      <c r="J2" s="928"/>
      <c r="K2" s="928"/>
      <c r="L2" s="928"/>
      <c r="M2" s="928"/>
      <c r="N2" s="928"/>
      <c r="O2" s="928"/>
      <c r="P2" s="931" t="str">
        <f>'Thong tin'!B4</f>
        <v>CTHADS Hải Phòng</v>
      </c>
      <c r="Q2" s="931"/>
      <c r="R2" s="931"/>
      <c r="S2" s="931"/>
    </row>
    <row r="3" spans="1:19" ht="19.5" customHeight="1">
      <c r="A3" s="932" t="s">
        <v>238</v>
      </c>
      <c r="B3" s="932"/>
      <c r="C3" s="932"/>
      <c r="D3" s="932"/>
      <c r="E3" s="929" t="str">
        <f>'Thong tin'!B3</f>
        <v>04 tháng / năm 2017</v>
      </c>
      <c r="F3" s="929"/>
      <c r="G3" s="929"/>
      <c r="H3" s="929"/>
      <c r="I3" s="929"/>
      <c r="J3" s="929"/>
      <c r="K3" s="929"/>
      <c r="L3" s="929"/>
      <c r="M3" s="929"/>
      <c r="N3" s="929"/>
      <c r="O3" s="929"/>
      <c r="P3" s="407" t="s">
        <v>538</v>
      </c>
      <c r="Q3" s="404"/>
      <c r="R3" s="408"/>
      <c r="S3" s="407"/>
    </row>
    <row r="4" spans="1:19" ht="14.25" customHeight="1">
      <c r="A4" s="388" t="s">
        <v>116</v>
      </c>
      <c r="C4" s="404"/>
      <c r="D4" s="409"/>
      <c r="E4" s="409"/>
      <c r="F4" s="409"/>
      <c r="G4" s="409"/>
      <c r="H4" s="404"/>
      <c r="I4" s="404"/>
      <c r="J4" s="409"/>
      <c r="K4" s="409"/>
      <c r="L4" s="409"/>
      <c r="M4" s="409"/>
      <c r="N4" s="406"/>
      <c r="O4" s="406"/>
      <c r="P4" s="934" t="s">
        <v>300</v>
      </c>
      <c r="Q4" s="934"/>
      <c r="R4" s="934"/>
      <c r="S4" s="934"/>
    </row>
    <row r="5" spans="17:19" ht="11.25" customHeight="1">
      <c r="Q5" s="411" t="s">
        <v>236</v>
      </c>
      <c r="R5" s="412"/>
      <c r="S5" s="413"/>
    </row>
    <row r="6" spans="1:19" ht="19.5" customHeight="1">
      <c r="A6" s="936" t="s">
        <v>55</v>
      </c>
      <c r="B6" s="937"/>
      <c r="C6" s="919" t="s">
        <v>117</v>
      </c>
      <c r="D6" s="919"/>
      <c r="E6" s="919"/>
      <c r="F6" s="930" t="s">
        <v>99</v>
      </c>
      <c r="G6" s="930" t="s">
        <v>118</v>
      </c>
      <c r="H6" s="933" t="s">
        <v>100</v>
      </c>
      <c r="I6" s="933"/>
      <c r="J6" s="933"/>
      <c r="K6" s="933"/>
      <c r="L6" s="933"/>
      <c r="M6" s="933"/>
      <c r="N6" s="933"/>
      <c r="O6" s="933"/>
      <c r="P6" s="933"/>
      <c r="Q6" s="933"/>
      <c r="R6" s="935" t="s">
        <v>242</v>
      </c>
      <c r="S6" s="919" t="s">
        <v>427</v>
      </c>
    </row>
    <row r="7" spans="1:20" s="378" customFormat="1" ht="27" customHeight="1">
      <c r="A7" s="938"/>
      <c r="B7" s="939"/>
      <c r="C7" s="935" t="s">
        <v>42</v>
      </c>
      <c r="D7" s="919" t="s">
        <v>7</v>
      </c>
      <c r="E7" s="919"/>
      <c r="F7" s="930"/>
      <c r="G7" s="930"/>
      <c r="H7" s="924" t="s">
        <v>100</v>
      </c>
      <c r="I7" s="919" t="s">
        <v>101</v>
      </c>
      <c r="J7" s="919"/>
      <c r="K7" s="919"/>
      <c r="L7" s="919"/>
      <c r="M7" s="919"/>
      <c r="N7" s="919"/>
      <c r="O7" s="919"/>
      <c r="P7" s="919"/>
      <c r="Q7" s="924" t="s">
        <v>110</v>
      </c>
      <c r="R7" s="935"/>
      <c r="S7" s="919"/>
      <c r="T7" s="399"/>
    </row>
    <row r="8" spans="1:19" ht="21.75" customHeight="1">
      <c r="A8" s="938"/>
      <c r="B8" s="939"/>
      <c r="C8" s="935"/>
      <c r="D8" s="919" t="s">
        <v>120</v>
      </c>
      <c r="E8" s="919" t="s">
        <v>121</v>
      </c>
      <c r="F8" s="930"/>
      <c r="G8" s="930"/>
      <c r="H8" s="924"/>
      <c r="I8" s="924" t="s">
        <v>426</v>
      </c>
      <c r="J8" s="919" t="s">
        <v>7</v>
      </c>
      <c r="K8" s="919"/>
      <c r="L8" s="919"/>
      <c r="M8" s="919"/>
      <c r="N8" s="919"/>
      <c r="O8" s="919"/>
      <c r="P8" s="919"/>
      <c r="Q8" s="924"/>
      <c r="R8" s="935"/>
      <c r="S8" s="919"/>
    </row>
    <row r="9" spans="1:19" ht="84" customHeight="1">
      <c r="A9" s="940"/>
      <c r="B9" s="941"/>
      <c r="C9" s="935"/>
      <c r="D9" s="919"/>
      <c r="E9" s="919"/>
      <c r="F9" s="930"/>
      <c r="G9" s="930"/>
      <c r="H9" s="924"/>
      <c r="I9" s="924"/>
      <c r="J9" s="414" t="s">
        <v>122</v>
      </c>
      <c r="K9" s="414" t="s">
        <v>123</v>
      </c>
      <c r="L9" s="10" t="s">
        <v>103</v>
      </c>
      <c r="M9" s="10" t="s">
        <v>124</v>
      </c>
      <c r="N9" s="10" t="s">
        <v>106</v>
      </c>
      <c r="O9" s="10" t="s">
        <v>243</v>
      </c>
      <c r="P9" s="10" t="s">
        <v>109</v>
      </c>
      <c r="Q9" s="924"/>
      <c r="R9" s="935"/>
      <c r="S9" s="919"/>
    </row>
    <row r="10" spans="1:19" ht="22.5" customHeight="1">
      <c r="A10" s="922" t="s">
        <v>6</v>
      </c>
      <c r="B10" s="923"/>
      <c r="C10" s="415">
        <v>1</v>
      </c>
      <c r="D10" s="416">
        <v>2</v>
      </c>
      <c r="E10" s="416">
        <v>3</v>
      </c>
      <c r="F10" s="416">
        <v>4</v>
      </c>
      <c r="G10" s="416">
        <v>5</v>
      </c>
      <c r="H10" s="415">
        <v>6</v>
      </c>
      <c r="I10" s="415">
        <v>7</v>
      </c>
      <c r="J10" s="416">
        <v>8</v>
      </c>
      <c r="K10" s="416">
        <v>9</v>
      </c>
      <c r="L10" s="416">
        <v>10</v>
      </c>
      <c r="M10" s="416">
        <v>11</v>
      </c>
      <c r="N10" s="416">
        <v>12</v>
      </c>
      <c r="O10" s="416">
        <v>13</v>
      </c>
      <c r="P10" s="416">
        <v>14</v>
      </c>
      <c r="Q10" s="415">
        <v>15</v>
      </c>
      <c r="R10" s="415">
        <v>16</v>
      </c>
      <c r="S10" s="417">
        <v>17</v>
      </c>
    </row>
    <row r="11" spans="1:20" s="392" customFormat="1" ht="23.25" customHeight="1">
      <c r="A11" s="925" t="s">
        <v>30</v>
      </c>
      <c r="B11" s="926"/>
      <c r="C11" s="427">
        <f aca="true" t="shared" si="0" ref="C11:R11">C12+C30</f>
        <v>11202</v>
      </c>
      <c r="D11" s="427">
        <f t="shared" si="0"/>
        <v>8049</v>
      </c>
      <c r="E11" s="427">
        <f t="shared" si="0"/>
        <v>3153</v>
      </c>
      <c r="F11" s="427">
        <f t="shared" si="0"/>
        <v>53</v>
      </c>
      <c r="G11" s="427">
        <f t="shared" si="0"/>
        <v>4</v>
      </c>
      <c r="H11" s="427">
        <f t="shared" si="0"/>
        <v>11149</v>
      </c>
      <c r="I11" s="427">
        <f t="shared" si="0"/>
        <v>5877</v>
      </c>
      <c r="J11" s="427">
        <f t="shared" si="0"/>
        <v>1960</v>
      </c>
      <c r="K11" s="427">
        <f t="shared" si="0"/>
        <v>83</v>
      </c>
      <c r="L11" s="427">
        <f t="shared" si="0"/>
        <v>3787</v>
      </c>
      <c r="M11" s="427">
        <f t="shared" si="0"/>
        <v>17</v>
      </c>
      <c r="N11" s="427">
        <f t="shared" si="0"/>
        <v>10</v>
      </c>
      <c r="O11" s="427">
        <f t="shared" si="0"/>
        <v>0</v>
      </c>
      <c r="P11" s="427">
        <f t="shared" si="0"/>
        <v>20</v>
      </c>
      <c r="Q11" s="427">
        <f t="shared" si="0"/>
        <v>5272</v>
      </c>
      <c r="R11" s="427">
        <f t="shared" si="0"/>
        <v>9106</v>
      </c>
      <c r="S11" s="428">
        <f>(J11+K11)/I11*100</f>
        <v>34.76263399693721</v>
      </c>
      <c r="T11" s="400">
        <f>C11-F11-H11</f>
        <v>0</v>
      </c>
    </row>
    <row r="12" spans="1:21" s="392" customFormat="1" ht="23.25" customHeight="1">
      <c r="A12" s="429" t="s">
        <v>0</v>
      </c>
      <c r="B12" s="430" t="s">
        <v>78</v>
      </c>
      <c r="C12" s="427">
        <f>SUM(C13:C29)</f>
        <v>331</v>
      </c>
      <c r="D12" s="427">
        <f>SUM(D13:D29)</f>
        <v>147</v>
      </c>
      <c r="E12" s="427">
        <f aca="true" t="shared" si="1" ref="E12:R12">SUM(E13:E29)</f>
        <v>184</v>
      </c>
      <c r="F12" s="427">
        <f t="shared" si="1"/>
        <v>10</v>
      </c>
      <c r="G12" s="427">
        <f t="shared" si="1"/>
        <v>0</v>
      </c>
      <c r="H12" s="427">
        <f t="shared" si="1"/>
        <v>321</v>
      </c>
      <c r="I12" s="427">
        <f t="shared" si="1"/>
        <v>306</v>
      </c>
      <c r="J12" s="427">
        <f t="shared" si="1"/>
        <v>49</v>
      </c>
      <c r="K12" s="427">
        <f t="shared" si="1"/>
        <v>1</v>
      </c>
      <c r="L12" s="427">
        <f t="shared" si="1"/>
        <v>253</v>
      </c>
      <c r="M12" s="427">
        <f t="shared" si="1"/>
        <v>0</v>
      </c>
      <c r="N12" s="427">
        <f t="shared" si="1"/>
        <v>3</v>
      </c>
      <c r="O12" s="427">
        <f t="shared" si="1"/>
        <v>0</v>
      </c>
      <c r="P12" s="427">
        <f t="shared" si="1"/>
        <v>0</v>
      </c>
      <c r="Q12" s="427">
        <f t="shared" si="1"/>
        <v>15</v>
      </c>
      <c r="R12" s="427">
        <f t="shared" si="1"/>
        <v>271</v>
      </c>
      <c r="S12" s="428">
        <f aca="true" t="shared" si="2" ref="S12:S75">(J12+K12)/I12*100</f>
        <v>16.33986928104575</v>
      </c>
      <c r="T12" s="400">
        <f>243-E12</f>
        <v>59</v>
      </c>
      <c r="U12" s="403"/>
    </row>
    <row r="13" spans="1:20" ht="23.25" customHeight="1">
      <c r="A13" s="431" t="s">
        <v>45</v>
      </c>
      <c r="B13" s="431" t="s">
        <v>435</v>
      </c>
      <c r="C13" s="432">
        <f>D13+E13</f>
        <v>5</v>
      </c>
      <c r="D13" s="433">
        <v>3</v>
      </c>
      <c r="E13" s="432">
        <v>2</v>
      </c>
      <c r="F13" s="432"/>
      <c r="G13" s="432"/>
      <c r="H13" s="432">
        <f aca="true" t="shared" si="3" ref="H13:H29">I13+Q13</f>
        <v>5</v>
      </c>
      <c r="I13" s="432">
        <f>SUM(J13:P13)</f>
        <v>5</v>
      </c>
      <c r="J13" s="432"/>
      <c r="K13" s="432"/>
      <c r="L13" s="432">
        <v>5</v>
      </c>
      <c r="M13" s="432"/>
      <c r="N13" s="432"/>
      <c r="O13" s="432"/>
      <c r="P13" s="432"/>
      <c r="Q13" s="432"/>
      <c r="R13" s="434">
        <f>SUM(L13:Q13)</f>
        <v>5</v>
      </c>
      <c r="S13" s="426">
        <f t="shared" si="2"/>
        <v>0</v>
      </c>
      <c r="T13" s="400">
        <f aca="true" t="shared" si="4" ref="T12:T75">C13-F13-H13</f>
        <v>0</v>
      </c>
    </row>
    <row r="14" spans="1:20" ht="23.25" customHeight="1">
      <c r="A14" s="431" t="s">
        <v>46</v>
      </c>
      <c r="B14" s="431" t="s">
        <v>436</v>
      </c>
      <c r="C14" s="432">
        <f aca="true" t="shared" si="5" ref="C14:C29">D14+E14</f>
        <v>10</v>
      </c>
      <c r="D14" s="433">
        <v>2</v>
      </c>
      <c r="E14" s="432">
        <v>8</v>
      </c>
      <c r="F14" s="432"/>
      <c r="G14" s="432"/>
      <c r="H14" s="432">
        <f t="shared" si="3"/>
        <v>10</v>
      </c>
      <c r="I14" s="432">
        <f aca="true" t="shared" si="6" ref="I14:I29">SUM(J14:P14)</f>
        <v>10</v>
      </c>
      <c r="J14" s="432"/>
      <c r="K14" s="432"/>
      <c r="L14" s="432">
        <v>10</v>
      </c>
      <c r="M14" s="432"/>
      <c r="N14" s="432"/>
      <c r="O14" s="432"/>
      <c r="P14" s="432"/>
      <c r="Q14" s="432"/>
      <c r="R14" s="434">
        <f aca="true" t="shared" si="7" ref="R14:R77">SUM(L14:Q14)</f>
        <v>10</v>
      </c>
      <c r="S14" s="426">
        <f t="shared" si="2"/>
        <v>0</v>
      </c>
      <c r="T14" s="400">
        <f t="shared" si="4"/>
        <v>0</v>
      </c>
    </row>
    <row r="15" spans="1:20" ht="23.25" customHeight="1">
      <c r="A15" s="431" t="s">
        <v>102</v>
      </c>
      <c r="B15" s="431" t="s">
        <v>433</v>
      </c>
      <c r="C15" s="432">
        <f t="shared" si="5"/>
        <v>3</v>
      </c>
      <c r="D15" s="433">
        <v>1</v>
      </c>
      <c r="E15" s="432">
        <v>2</v>
      </c>
      <c r="F15" s="432"/>
      <c r="G15" s="432"/>
      <c r="H15" s="432">
        <f t="shared" si="3"/>
        <v>3</v>
      </c>
      <c r="I15" s="432">
        <f t="shared" si="6"/>
        <v>3</v>
      </c>
      <c r="J15" s="432"/>
      <c r="K15" s="432"/>
      <c r="L15" s="432">
        <v>3</v>
      </c>
      <c r="M15" s="432"/>
      <c r="N15" s="432"/>
      <c r="O15" s="432"/>
      <c r="P15" s="432"/>
      <c r="Q15" s="432"/>
      <c r="R15" s="434">
        <f t="shared" si="7"/>
        <v>3</v>
      </c>
      <c r="S15" s="426">
        <f t="shared" si="2"/>
        <v>0</v>
      </c>
      <c r="T15" s="400">
        <f t="shared" si="4"/>
        <v>0</v>
      </c>
    </row>
    <row r="16" spans="1:20" ht="23.25" customHeight="1">
      <c r="A16" s="431" t="s">
        <v>104</v>
      </c>
      <c r="B16" s="431" t="s">
        <v>531</v>
      </c>
      <c r="C16" s="432">
        <f t="shared" si="5"/>
        <v>8</v>
      </c>
      <c r="D16" s="433">
        <v>1</v>
      </c>
      <c r="E16" s="432">
        <v>7</v>
      </c>
      <c r="F16" s="432"/>
      <c r="G16" s="432"/>
      <c r="H16" s="432">
        <f t="shared" si="3"/>
        <v>8</v>
      </c>
      <c r="I16" s="432">
        <f t="shared" si="6"/>
        <v>8</v>
      </c>
      <c r="J16" s="432">
        <v>3</v>
      </c>
      <c r="K16" s="432"/>
      <c r="L16" s="432">
        <v>5</v>
      </c>
      <c r="M16" s="432"/>
      <c r="N16" s="432"/>
      <c r="O16" s="432"/>
      <c r="P16" s="432"/>
      <c r="Q16" s="432"/>
      <c r="R16" s="434">
        <f t="shared" si="7"/>
        <v>5</v>
      </c>
      <c r="S16" s="426">
        <f t="shared" si="2"/>
        <v>37.5</v>
      </c>
      <c r="T16" s="400">
        <f t="shared" si="4"/>
        <v>0</v>
      </c>
    </row>
    <row r="17" spans="1:20" ht="23.25" customHeight="1">
      <c r="A17" s="431" t="s">
        <v>105</v>
      </c>
      <c r="B17" s="431" t="s">
        <v>437</v>
      </c>
      <c r="C17" s="432">
        <f t="shared" si="5"/>
        <v>17</v>
      </c>
      <c r="D17" s="433">
        <v>15</v>
      </c>
      <c r="E17" s="432">
        <v>2</v>
      </c>
      <c r="F17" s="432"/>
      <c r="G17" s="432"/>
      <c r="H17" s="432">
        <f t="shared" si="3"/>
        <v>17</v>
      </c>
      <c r="I17" s="432">
        <f t="shared" si="6"/>
        <v>15</v>
      </c>
      <c r="J17" s="432"/>
      <c r="K17" s="432"/>
      <c r="L17" s="432">
        <v>15</v>
      </c>
      <c r="M17" s="432"/>
      <c r="N17" s="432"/>
      <c r="O17" s="432"/>
      <c r="P17" s="432"/>
      <c r="Q17" s="432">
        <v>2</v>
      </c>
      <c r="R17" s="434">
        <f t="shared" si="7"/>
        <v>17</v>
      </c>
      <c r="S17" s="426">
        <f t="shared" si="2"/>
        <v>0</v>
      </c>
      <c r="T17" s="400">
        <f t="shared" si="4"/>
        <v>0</v>
      </c>
    </row>
    <row r="18" spans="1:20" ht="23.25" customHeight="1">
      <c r="A18" s="431" t="s">
        <v>107</v>
      </c>
      <c r="B18" s="431" t="s">
        <v>438</v>
      </c>
      <c r="C18" s="432">
        <f t="shared" si="5"/>
        <v>19</v>
      </c>
      <c r="D18" s="433">
        <v>11</v>
      </c>
      <c r="E18" s="432">
        <v>8</v>
      </c>
      <c r="F18" s="432"/>
      <c r="G18" s="432"/>
      <c r="H18" s="432">
        <f t="shared" si="3"/>
        <v>19</v>
      </c>
      <c r="I18" s="432">
        <f t="shared" si="6"/>
        <v>18</v>
      </c>
      <c r="J18" s="432">
        <v>2</v>
      </c>
      <c r="K18" s="432"/>
      <c r="L18" s="435">
        <v>16</v>
      </c>
      <c r="M18" s="435"/>
      <c r="N18" s="436"/>
      <c r="O18" s="436"/>
      <c r="P18" s="436"/>
      <c r="Q18" s="436">
        <v>1</v>
      </c>
      <c r="R18" s="434">
        <f t="shared" si="7"/>
        <v>17</v>
      </c>
      <c r="S18" s="426">
        <f t="shared" si="2"/>
        <v>11.11111111111111</v>
      </c>
      <c r="T18" s="400">
        <f t="shared" si="4"/>
        <v>0</v>
      </c>
    </row>
    <row r="19" spans="1:20" ht="23.25" customHeight="1">
      <c r="A19" s="431" t="s">
        <v>108</v>
      </c>
      <c r="B19" s="431" t="s">
        <v>439</v>
      </c>
      <c r="C19" s="432">
        <f t="shared" si="5"/>
        <v>8</v>
      </c>
      <c r="D19" s="433">
        <v>8</v>
      </c>
      <c r="E19" s="436"/>
      <c r="F19" s="432"/>
      <c r="G19" s="436"/>
      <c r="H19" s="432">
        <f>I19+Q19</f>
        <v>8</v>
      </c>
      <c r="I19" s="432">
        <f t="shared" si="6"/>
        <v>6</v>
      </c>
      <c r="J19" s="436"/>
      <c r="K19" s="436"/>
      <c r="L19" s="436">
        <v>6</v>
      </c>
      <c r="M19" s="436"/>
      <c r="N19" s="435"/>
      <c r="O19" s="436"/>
      <c r="P19" s="436"/>
      <c r="Q19" s="436">
        <v>2</v>
      </c>
      <c r="R19" s="434">
        <f t="shared" si="7"/>
        <v>8</v>
      </c>
      <c r="S19" s="426">
        <f t="shared" si="2"/>
        <v>0</v>
      </c>
      <c r="T19" s="400">
        <f t="shared" si="4"/>
        <v>0</v>
      </c>
    </row>
    <row r="20" spans="1:20" ht="23.25" customHeight="1">
      <c r="A20" s="431" t="s">
        <v>114</v>
      </c>
      <c r="B20" s="431" t="s">
        <v>440</v>
      </c>
      <c r="C20" s="432">
        <f t="shared" si="5"/>
        <v>10</v>
      </c>
      <c r="D20" s="433">
        <v>6</v>
      </c>
      <c r="E20" s="436">
        <v>4</v>
      </c>
      <c r="F20" s="432"/>
      <c r="G20" s="436"/>
      <c r="H20" s="432">
        <f t="shared" si="3"/>
        <v>10</v>
      </c>
      <c r="I20" s="432">
        <f t="shared" si="6"/>
        <v>10</v>
      </c>
      <c r="J20" s="436">
        <v>3</v>
      </c>
      <c r="K20" s="436"/>
      <c r="L20" s="436">
        <v>7</v>
      </c>
      <c r="M20" s="436"/>
      <c r="N20" s="435"/>
      <c r="O20" s="436"/>
      <c r="P20" s="436"/>
      <c r="Q20" s="436"/>
      <c r="R20" s="434">
        <f t="shared" si="7"/>
        <v>7</v>
      </c>
      <c r="S20" s="426">
        <f t="shared" si="2"/>
        <v>30</v>
      </c>
      <c r="T20" s="400">
        <f t="shared" si="4"/>
        <v>0</v>
      </c>
    </row>
    <row r="21" spans="1:20" ht="23.25" customHeight="1">
      <c r="A21" s="431" t="s">
        <v>424</v>
      </c>
      <c r="B21" s="431" t="s">
        <v>442</v>
      </c>
      <c r="C21" s="432">
        <f t="shared" si="5"/>
        <v>22</v>
      </c>
      <c r="D21" s="433">
        <v>10</v>
      </c>
      <c r="E21" s="437">
        <v>12</v>
      </c>
      <c r="F21" s="432"/>
      <c r="G21" s="437"/>
      <c r="H21" s="432">
        <f t="shared" si="3"/>
        <v>22</v>
      </c>
      <c r="I21" s="432">
        <f t="shared" si="6"/>
        <v>22</v>
      </c>
      <c r="J21" s="437">
        <v>9</v>
      </c>
      <c r="K21" s="437"/>
      <c r="L21" s="437">
        <v>13</v>
      </c>
      <c r="M21" s="437"/>
      <c r="N21" s="435"/>
      <c r="O21" s="437"/>
      <c r="P21" s="437"/>
      <c r="Q21" s="437"/>
      <c r="R21" s="434">
        <f t="shared" si="7"/>
        <v>13</v>
      </c>
      <c r="S21" s="426">
        <f t="shared" si="2"/>
        <v>40.909090909090914</v>
      </c>
      <c r="T21" s="400">
        <f t="shared" si="4"/>
        <v>0</v>
      </c>
    </row>
    <row r="22" spans="1:20" ht="23.25" customHeight="1">
      <c r="A22" s="431" t="s">
        <v>441</v>
      </c>
      <c r="B22" s="431" t="s">
        <v>444</v>
      </c>
      <c r="C22" s="432">
        <f t="shared" si="5"/>
        <v>11</v>
      </c>
      <c r="D22" s="433">
        <v>11</v>
      </c>
      <c r="E22" s="436"/>
      <c r="F22" s="432"/>
      <c r="G22" s="436"/>
      <c r="H22" s="432">
        <f t="shared" si="3"/>
        <v>11</v>
      </c>
      <c r="I22" s="432">
        <f t="shared" si="6"/>
        <v>11</v>
      </c>
      <c r="J22" s="436"/>
      <c r="K22" s="436"/>
      <c r="L22" s="436">
        <v>11</v>
      </c>
      <c r="M22" s="436"/>
      <c r="N22" s="435"/>
      <c r="O22" s="436"/>
      <c r="P22" s="436"/>
      <c r="Q22" s="436"/>
      <c r="R22" s="434">
        <f t="shared" si="7"/>
        <v>11</v>
      </c>
      <c r="S22" s="426">
        <f t="shared" si="2"/>
        <v>0</v>
      </c>
      <c r="T22" s="400">
        <f t="shared" si="4"/>
        <v>0</v>
      </c>
    </row>
    <row r="23" spans="1:20" ht="23.25" customHeight="1">
      <c r="A23" s="431" t="s">
        <v>443</v>
      </c>
      <c r="B23" s="431" t="s">
        <v>572</v>
      </c>
      <c r="C23" s="432">
        <f t="shared" si="5"/>
        <v>25</v>
      </c>
      <c r="D23" s="433">
        <v>15</v>
      </c>
      <c r="E23" s="436">
        <v>10</v>
      </c>
      <c r="F23" s="432"/>
      <c r="G23" s="436"/>
      <c r="H23" s="432">
        <f t="shared" si="3"/>
        <v>25</v>
      </c>
      <c r="I23" s="432">
        <f t="shared" si="6"/>
        <v>25</v>
      </c>
      <c r="J23" s="436"/>
      <c r="K23" s="436"/>
      <c r="L23" s="436">
        <v>25</v>
      </c>
      <c r="M23" s="436"/>
      <c r="N23" s="435"/>
      <c r="O23" s="436"/>
      <c r="P23" s="436"/>
      <c r="Q23" s="436"/>
      <c r="R23" s="434">
        <f t="shared" si="7"/>
        <v>25</v>
      </c>
      <c r="S23" s="426">
        <f t="shared" si="2"/>
        <v>0</v>
      </c>
      <c r="T23" s="400">
        <f t="shared" si="4"/>
        <v>0</v>
      </c>
    </row>
    <row r="24" spans="1:20" ht="23.25" customHeight="1">
      <c r="A24" s="431" t="s">
        <v>445</v>
      </c>
      <c r="B24" s="431" t="s">
        <v>543</v>
      </c>
      <c r="C24" s="432">
        <f t="shared" si="5"/>
        <v>55</v>
      </c>
      <c r="D24" s="436">
        <v>17</v>
      </c>
      <c r="E24" s="436">
        <v>38</v>
      </c>
      <c r="F24" s="432">
        <v>6</v>
      </c>
      <c r="G24" s="436"/>
      <c r="H24" s="432">
        <f t="shared" si="3"/>
        <v>49</v>
      </c>
      <c r="I24" s="432">
        <f t="shared" si="6"/>
        <v>45</v>
      </c>
      <c r="J24" s="436">
        <v>6</v>
      </c>
      <c r="K24" s="436"/>
      <c r="L24" s="436">
        <v>39</v>
      </c>
      <c r="M24" s="436"/>
      <c r="N24" s="435"/>
      <c r="O24" s="436"/>
      <c r="P24" s="436"/>
      <c r="Q24" s="436">
        <v>4</v>
      </c>
      <c r="R24" s="434">
        <f t="shared" si="7"/>
        <v>43</v>
      </c>
      <c r="S24" s="426">
        <f t="shared" si="2"/>
        <v>13.333333333333334</v>
      </c>
      <c r="T24" s="400">
        <f t="shared" si="4"/>
        <v>0</v>
      </c>
    </row>
    <row r="25" spans="1:20" ht="23.25" customHeight="1">
      <c r="A25" s="431" t="s">
        <v>446</v>
      </c>
      <c r="B25" s="431" t="s">
        <v>448</v>
      </c>
      <c r="C25" s="432">
        <f t="shared" si="5"/>
        <v>43</v>
      </c>
      <c r="D25" s="433">
        <v>18</v>
      </c>
      <c r="E25" s="436">
        <v>25</v>
      </c>
      <c r="F25" s="432">
        <v>4</v>
      </c>
      <c r="G25" s="436"/>
      <c r="H25" s="432">
        <f t="shared" si="3"/>
        <v>39</v>
      </c>
      <c r="I25" s="432">
        <f t="shared" si="6"/>
        <v>38</v>
      </c>
      <c r="J25" s="436">
        <v>13</v>
      </c>
      <c r="K25" s="436"/>
      <c r="L25" s="436">
        <v>22</v>
      </c>
      <c r="M25" s="436">
        <v>0</v>
      </c>
      <c r="N25" s="435">
        <v>3</v>
      </c>
      <c r="O25" s="436"/>
      <c r="P25" s="436"/>
      <c r="Q25" s="436">
        <v>1</v>
      </c>
      <c r="R25" s="434">
        <f t="shared" si="7"/>
        <v>26</v>
      </c>
      <c r="S25" s="426">
        <f t="shared" si="2"/>
        <v>34.21052631578947</v>
      </c>
      <c r="T25" s="400">
        <f t="shared" si="4"/>
        <v>0</v>
      </c>
    </row>
    <row r="26" spans="1:20" ht="23.25" customHeight="1">
      <c r="A26" s="431" t="s">
        <v>447</v>
      </c>
      <c r="B26" s="431" t="s">
        <v>450</v>
      </c>
      <c r="C26" s="432">
        <f t="shared" si="5"/>
        <v>14</v>
      </c>
      <c r="D26" s="433">
        <v>8</v>
      </c>
      <c r="E26" s="436">
        <v>6</v>
      </c>
      <c r="F26" s="432"/>
      <c r="G26" s="436"/>
      <c r="H26" s="432">
        <f t="shared" si="3"/>
        <v>14</v>
      </c>
      <c r="I26" s="432">
        <f t="shared" si="6"/>
        <v>14</v>
      </c>
      <c r="J26" s="436"/>
      <c r="K26" s="436"/>
      <c r="L26" s="436">
        <v>14</v>
      </c>
      <c r="M26" s="436">
        <v>0</v>
      </c>
      <c r="N26" s="435"/>
      <c r="O26" s="436"/>
      <c r="P26" s="436"/>
      <c r="Q26" s="436"/>
      <c r="R26" s="434">
        <f t="shared" si="7"/>
        <v>14</v>
      </c>
      <c r="S26" s="426">
        <f t="shared" si="2"/>
        <v>0</v>
      </c>
      <c r="T26" s="400">
        <f t="shared" si="4"/>
        <v>0</v>
      </c>
    </row>
    <row r="27" spans="1:20" ht="23.25" customHeight="1">
      <c r="A27" s="431" t="s">
        <v>449</v>
      </c>
      <c r="B27" s="431" t="s">
        <v>452</v>
      </c>
      <c r="C27" s="432">
        <f t="shared" si="5"/>
        <v>54</v>
      </c>
      <c r="D27" s="433">
        <v>12</v>
      </c>
      <c r="E27" s="432">
        <v>42</v>
      </c>
      <c r="F27" s="432"/>
      <c r="G27" s="438"/>
      <c r="H27" s="432">
        <f t="shared" si="3"/>
        <v>54</v>
      </c>
      <c r="I27" s="432">
        <f t="shared" si="6"/>
        <v>53</v>
      </c>
      <c r="J27" s="432">
        <v>5</v>
      </c>
      <c r="K27" s="432"/>
      <c r="L27" s="435">
        <v>48</v>
      </c>
      <c r="M27" s="435"/>
      <c r="N27" s="435"/>
      <c r="O27" s="436"/>
      <c r="P27" s="436"/>
      <c r="Q27" s="436">
        <v>1</v>
      </c>
      <c r="R27" s="434">
        <f t="shared" si="7"/>
        <v>49</v>
      </c>
      <c r="S27" s="426">
        <f t="shared" si="2"/>
        <v>9.433962264150944</v>
      </c>
      <c r="T27" s="400">
        <f t="shared" si="4"/>
        <v>0</v>
      </c>
    </row>
    <row r="28" spans="1:20" ht="23.25" customHeight="1">
      <c r="A28" s="431" t="s">
        <v>451</v>
      </c>
      <c r="B28" s="431" t="s">
        <v>454</v>
      </c>
      <c r="C28" s="432">
        <f t="shared" si="5"/>
        <v>13</v>
      </c>
      <c r="D28" s="432">
        <v>7</v>
      </c>
      <c r="E28" s="432">
        <v>6</v>
      </c>
      <c r="F28" s="432">
        <v>0</v>
      </c>
      <c r="G28" s="432"/>
      <c r="H28" s="432">
        <f t="shared" si="3"/>
        <v>13</v>
      </c>
      <c r="I28" s="432">
        <f t="shared" si="6"/>
        <v>11</v>
      </c>
      <c r="J28" s="432">
        <v>2</v>
      </c>
      <c r="K28" s="432"/>
      <c r="L28" s="435">
        <v>9</v>
      </c>
      <c r="M28" s="435"/>
      <c r="N28" s="435"/>
      <c r="O28" s="436"/>
      <c r="P28" s="436"/>
      <c r="Q28" s="436">
        <v>2</v>
      </c>
      <c r="R28" s="434">
        <f t="shared" si="7"/>
        <v>11</v>
      </c>
      <c r="S28" s="426">
        <f t="shared" si="2"/>
        <v>18.181818181818183</v>
      </c>
      <c r="T28" s="400">
        <f t="shared" si="4"/>
        <v>0</v>
      </c>
    </row>
    <row r="29" spans="1:20" ht="23.25" customHeight="1">
      <c r="A29" s="431" t="s">
        <v>453</v>
      </c>
      <c r="B29" s="431" t="s">
        <v>544</v>
      </c>
      <c r="C29" s="432">
        <f t="shared" si="5"/>
        <v>14</v>
      </c>
      <c r="D29" s="432">
        <v>2</v>
      </c>
      <c r="E29" s="432">
        <v>12</v>
      </c>
      <c r="F29" s="432">
        <v>0</v>
      </c>
      <c r="G29" s="432"/>
      <c r="H29" s="432">
        <f t="shared" si="3"/>
        <v>14</v>
      </c>
      <c r="I29" s="432">
        <f t="shared" si="6"/>
        <v>12</v>
      </c>
      <c r="J29" s="432">
        <v>6</v>
      </c>
      <c r="K29" s="432">
        <v>1</v>
      </c>
      <c r="L29" s="435">
        <v>5</v>
      </c>
      <c r="M29" s="435"/>
      <c r="N29" s="435"/>
      <c r="O29" s="436"/>
      <c r="P29" s="436"/>
      <c r="Q29" s="436">
        <v>2</v>
      </c>
      <c r="R29" s="434">
        <f t="shared" si="7"/>
        <v>7</v>
      </c>
      <c r="S29" s="426">
        <f t="shared" si="2"/>
        <v>58.333333333333336</v>
      </c>
      <c r="T29" s="400">
        <f t="shared" si="4"/>
        <v>0</v>
      </c>
    </row>
    <row r="30" spans="1:20" s="472" customFormat="1" ht="23.25" customHeight="1">
      <c r="A30" s="429" t="s">
        <v>1</v>
      </c>
      <c r="B30" s="430" t="s">
        <v>455</v>
      </c>
      <c r="C30" s="485">
        <f aca="true" t="shared" si="8" ref="C30:Q30">C31+C36+C41+C44+C47+C56+C61+C68+C72+C76+C87+C90+C94+C106+C109</f>
        <v>10871</v>
      </c>
      <c r="D30" s="485">
        <f t="shared" si="8"/>
        <v>7902</v>
      </c>
      <c r="E30" s="485">
        <f t="shared" si="8"/>
        <v>2969</v>
      </c>
      <c r="F30" s="485">
        <f t="shared" si="8"/>
        <v>43</v>
      </c>
      <c r="G30" s="485">
        <f t="shared" si="8"/>
        <v>4</v>
      </c>
      <c r="H30" s="485">
        <f t="shared" si="8"/>
        <v>10828</v>
      </c>
      <c r="I30" s="485">
        <f t="shared" si="8"/>
        <v>5571</v>
      </c>
      <c r="J30" s="485">
        <f t="shared" si="8"/>
        <v>1911</v>
      </c>
      <c r="K30" s="485">
        <f t="shared" si="8"/>
        <v>82</v>
      </c>
      <c r="L30" s="485">
        <f t="shared" si="8"/>
        <v>3534</v>
      </c>
      <c r="M30" s="485">
        <f t="shared" si="8"/>
        <v>17</v>
      </c>
      <c r="N30" s="485">
        <f t="shared" si="8"/>
        <v>7</v>
      </c>
      <c r="O30" s="485">
        <f t="shared" si="8"/>
        <v>0</v>
      </c>
      <c r="P30" s="485">
        <f t="shared" si="8"/>
        <v>20</v>
      </c>
      <c r="Q30" s="485">
        <f t="shared" si="8"/>
        <v>5257</v>
      </c>
      <c r="R30" s="492">
        <f t="shared" si="7"/>
        <v>8835</v>
      </c>
      <c r="S30" s="428">
        <f t="shared" si="2"/>
        <v>35.77454676000718</v>
      </c>
      <c r="T30" s="471">
        <f t="shared" si="4"/>
        <v>0</v>
      </c>
    </row>
    <row r="31" spans="1:20" s="472" customFormat="1" ht="23.25" customHeight="1">
      <c r="A31" s="429">
        <v>1</v>
      </c>
      <c r="B31" s="439" t="s">
        <v>456</v>
      </c>
      <c r="C31" s="485">
        <f>SUM(C32:C35)</f>
        <v>877</v>
      </c>
      <c r="D31" s="485">
        <f>SUM(D32:D35)</f>
        <v>632</v>
      </c>
      <c r="E31" s="485">
        <f aca="true" t="shared" si="9" ref="E31:Q31">SUM(E32:E35)</f>
        <v>245</v>
      </c>
      <c r="F31" s="485">
        <f t="shared" si="9"/>
        <v>2</v>
      </c>
      <c r="G31" s="485">
        <f t="shared" si="9"/>
        <v>0</v>
      </c>
      <c r="H31" s="485">
        <f t="shared" si="9"/>
        <v>875</v>
      </c>
      <c r="I31" s="485">
        <f t="shared" si="9"/>
        <v>505</v>
      </c>
      <c r="J31" s="485">
        <f t="shared" si="9"/>
        <v>150</v>
      </c>
      <c r="K31" s="485">
        <f t="shared" si="9"/>
        <v>19</v>
      </c>
      <c r="L31" s="485">
        <f t="shared" si="9"/>
        <v>335</v>
      </c>
      <c r="M31" s="485">
        <f t="shared" si="9"/>
        <v>1</v>
      </c>
      <c r="N31" s="485">
        <f t="shared" si="9"/>
        <v>0</v>
      </c>
      <c r="O31" s="485">
        <f t="shared" si="9"/>
        <v>0</v>
      </c>
      <c r="P31" s="485">
        <f t="shared" si="9"/>
        <v>0</v>
      </c>
      <c r="Q31" s="485">
        <f t="shared" si="9"/>
        <v>370</v>
      </c>
      <c r="R31" s="492">
        <f t="shared" si="7"/>
        <v>706</v>
      </c>
      <c r="S31" s="428">
        <f t="shared" si="2"/>
        <v>33.46534653465347</v>
      </c>
      <c r="T31" s="471">
        <f t="shared" si="4"/>
        <v>0</v>
      </c>
    </row>
    <row r="32" spans="1:20" s="499" customFormat="1" ht="23.25" customHeight="1">
      <c r="A32" s="493">
        <v>1.1</v>
      </c>
      <c r="B32" s="494" t="s">
        <v>457</v>
      </c>
      <c r="C32" s="495">
        <f>SUM(D32+E32)</f>
        <v>109</v>
      </c>
      <c r="D32" s="495">
        <v>81</v>
      </c>
      <c r="E32" s="495">
        <v>28</v>
      </c>
      <c r="F32" s="495">
        <v>1</v>
      </c>
      <c r="G32" s="495">
        <v>0</v>
      </c>
      <c r="H32" s="495">
        <f>SUM(Q32+I32)</f>
        <v>108</v>
      </c>
      <c r="I32" s="495">
        <f>SUM(L32+M32+N32+O32+P32+J32+K32)</f>
        <v>63</v>
      </c>
      <c r="J32" s="495">
        <v>24</v>
      </c>
      <c r="K32" s="495">
        <v>3</v>
      </c>
      <c r="L32" s="495">
        <v>36</v>
      </c>
      <c r="M32" s="495">
        <v>0</v>
      </c>
      <c r="N32" s="495">
        <v>0</v>
      </c>
      <c r="O32" s="495">
        <v>0</v>
      </c>
      <c r="P32" s="495">
        <v>0</v>
      </c>
      <c r="Q32" s="495">
        <v>45</v>
      </c>
      <c r="R32" s="496">
        <f t="shared" si="7"/>
        <v>81</v>
      </c>
      <c r="S32" s="497">
        <f t="shared" si="2"/>
        <v>42.857142857142854</v>
      </c>
      <c r="T32" s="498">
        <f t="shared" si="4"/>
        <v>0</v>
      </c>
    </row>
    <row r="33" spans="1:20" s="499" customFormat="1" ht="23.25" customHeight="1">
      <c r="A33" s="493">
        <v>1.2</v>
      </c>
      <c r="B33" s="494" t="s">
        <v>545</v>
      </c>
      <c r="C33" s="495">
        <f>SUM(D33+E33)</f>
        <v>172</v>
      </c>
      <c r="D33" s="495">
        <v>115</v>
      </c>
      <c r="E33" s="495">
        <v>57</v>
      </c>
      <c r="F33" s="495">
        <v>0</v>
      </c>
      <c r="G33" s="495"/>
      <c r="H33" s="495">
        <f>SUM(Q33+I33)</f>
        <v>172</v>
      </c>
      <c r="I33" s="495">
        <f>SUM(L33+M33+N33+O33+P33+J33+K33)</f>
        <v>102</v>
      </c>
      <c r="J33" s="495">
        <v>25</v>
      </c>
      <c r="K33" s="495">
        <v>0</v>
      </c>
      <c r="L33" s="495">
        <v>77</v>
      </c>
      <c r="M33" s="495">
        <v>0</v>
      </c>
      <c r="N33" s="495"/>
      <c r="O33" s="495"/>
      <c r="P33" s="495">
        <v>0</v>
      </c>
      <c r="Q33" s="495">
        <v>70</v>
      </c>
      <c r="R33" s="496">
        <f t="shared" si="7"/>
        <v>147</v>
      </c>
      <c r="S33" s="497">
        <f t="shared" si="2"/>
        <v>24.509803921568626</v>
      </c>
      <c r="T33" s="498">
        <f t="shared" si="4"/>
        <v>0</v>
      </c>
    </row>
    <row r="34" spans="1:20" s="499" customFormat="1" ht="23.25" customHeight="1">
      <c r="A34" s="493">
        <v>1.3</v>
      </c>
      <c r="B34" s="494" t="s">
        <v>458</v>
      </c>
      <c r="C34" s="495">
        <f>SUM(D34+E34)</f>
        <v>366</v>
      </c>
      <c r="D34" s="495">
        <v>265</v>
      </c>
      <c r="E34" s="495">
        <v>101</v>
      </c>
      <c r="F34" s="495">
        <v>0</v>
      </c>
      <c r="G34" s="495"/>
      <c r="H34" s="495">
        <f>SUM(Q34+I34)</f>
        <v>366</v>
      </c>
      <c r="I34" s="495">
        <f>SUM(L34+M34+N34+O34+P34+J34+K34)</f>
        <v>228</v>
      </c>
      <c r="J34" s="495">
        <v>58</v>
      </c>
      <c r="K34" s="495">
        <v>13</v>
      </c>
      <c r="L34" s="495">
        <v>156</v>
      </c>
      <c r="M34" s="495">
        <v>1</v>
      </c>
      <c r="N34" s="495"/>
      <c r="O34" s="495">
        <v>0</v>
      </c>
      <c r="P34" s="495">
        <v>0</v>
      </c>
      <c r="Q34" s="495">
        <v>138</v>
      </c>
      <c r="R34" s="496">
        <f t="shared" si="7"/>
        <v>295</v>
      </c>
      <c r="S34" s="497">
        <f t="shared" si="2"/>
        <v>31.140350877192986</v>
      </c>
      <c r="T34" s="498">
        <f t="shared" si="4"/>
        <v>0</v>
      </c>
    </row>
    <row r="35" spans="1:20" s="499" customFormat="1" ht="23.25" customHeight="1">
      <c r="A35" s="493">
        <v>1.4</v>
      </c>
      <c r="B35" s="494" t="s">
        <v>546</v>
      </c>
      <c r="C35" s="495">
        <f>SUM(D35+E35)</f>
        <v>230</v>
      </c>
      <c r="D35" s="495">
        <v>171</v>
      </c>
      <c r="E35" s="495">
        <v>59</v>
      </c>
      <c r="F35" s="495">
        <v>1</v>
      </c>
      <c r="G35" s="495"/>
      <c r="H35" s="495">
        <f>SUM(Q35+I35)</f>
        <v>229</v>
      </c>
      <c r="I35" s="495">
        <f>SUM(L35+M35+N35+O35+P35+J35+K35)</f>
        <v>112</v>
      </c>
      <c r="J35" s="495">
        <v>43</v>
      </c>
      <c r="K35" s="495">
        <v>3</v>
      </c>
      <c r="L35" s="495">
        <v>66</v>
      </c>
      <c r="M35" s="495">
        <v>0</v>
      </c>
      <c r="N35" s="495"/>
      <c r="O35" s="495"/>
      <c r="P35" s="495">
        <v>0</v>
      </c>
      <c r="Q35" s="495">
        <v>117</v>
      </c>
      <c r="R35" s="496">
        <f t="shared" si="7"/>
        <v>183</v>
      </c>
      <c r="S35" s="497">
        <f t="shared" si="2"/>
        <v>41.07142857142857</v>
      </c>
      <c r="T35" s="498">
        <f t="shared" si="4"/>
        <v>0</v>
      </c>
    </row>
    <row r="36" spans="1:20" s="472" customFormat="1" ht="23.25" customHeight="1">
      <c r="A36" s="429">
        <v>2</v>
      </c>
      <c r="B36" s="439" t="s">
        <v>459</v>
      </c>
      <c r="C36" s="485">
        <f>C40+C39+C38+C37</f>
        <v>319</v>
      </c>
      <c r="D36" s="485">
        <f>D40+D39+D38+D37</f>
        <v>183</v>
      </c>
      <c r="E36" s="485">
        <f aca="true" t="shared" si="10" ref="E36:Q36">E40+E39+E38+E37</f>
        <v>136</v>
      </c>
      <c r="F36" s="485">
        <f t="shared" si="10"/>
        <v>2</v>
      </c>
      <c r="G36" s="485">
        <f t="shared" si="10"/>
        <v>0</v>
      </c>
      <c r="H36" s="485">
        <f t="shared" si="10"/>
        <v>317</v>
      </c>
      <c r="I36" s="485">
        <f t="shared" si="10"/>
        <v>171</v>
      </c>
      <c r="J36" s="485">
        <f t="shared" si="10"/>
        <v>111</v>
      </c>
      <c r="K36" s="485">
        <f t="shared" si="10"/>
        <v>3</v>
      </c>
      <c r="L36" s="485">
        <f t="shared" si="10"/>
        <v>53</v>
      </c>
      <c r="M36" s="485">
        <f t="shared" si="10"/>
        <v>0</v>
      </c>
      <c r="N36" s="485">
        <f t="shared" si="10"/>
        <v>1</v>
      </c>
      <c r="O36" s="485">
        <f t="shared" si="10"/>
        <v>0</v>
      </c>
      <c r="P36" s="485">
        <f t="shared" si="10"/>
        <v>3</v>
      </c>
      <c r="Q36" s="485">
        <f t="shared" si="10"/>
        <v>146</v>
      </c>
      <c r="R36" s="492">
        <f t="shared" si="7"/>
        <v>203</v>
      </c>
      <c r="S36" s="428">
        <f t="shared" si="2"/>
        <v>66.66666666666666</v>
      </c>
      <c r="T36" s="471">
        <f t="shared" si="4"/>
        <v>0</v>
      </c>
    </row>
    <row r="37" spans="1:20" s="499" customFormat="1" ht="23.25" customHeight="1">
      <c r="A37" s="493">
        <v>2.1</v>
      </c>
      <c r="B37" s="502" t="s">
        <v>460</v>
      </c>
      <c r="C37" s="503">
        <f>D37+E37</f>
        <v>64</v>
      </c>
      <c r="D37" s="503">
        <v>14</v>
      </c>
      <c r="E37" s="503">
        <v>50</v>
      </c>
      <c r="F37" s="503">
        <v>0</v>
      </c>
      <c r="G37" s="503"/>
      <c r="H37" s="503">
        <f>I37+Q37</f>
        <v>64</v>
      </c>
      <c r="I37" s="503">
        <f>J37+K37+L37+M37+N37+O37+P37</f>
        <v>53</v>
      </c>
      <c r="J37" s="503">
        <v>51</v>
      </c>
      <c r="K37" s="503">
        <v>1</v>
      </c>
      <c r="L37" s="503">
        <v>1</v>
      </c>
      <c r="M37" s="503"/>
      <c r="N37" s="503"/>
      <c r="O37" s="503"/>
      <c r="P37" s="504"/>
      <c r="Q37" s="505">
        <v>11</v>
      </c>
      <c r="R37" s="496">
        <f t="shared" si="7"/>
        <v>12</v>
      </c>
      <c r="S37" s="497">
        <f t="shared" si="2"/>
        <v>98.11320754716981</v>
      </c>
      <c r="T37" s="498">
        <f t="shared" si="4"/>
        <v>0</v>
      </c>
    </row>
    <row r="38" spans="1:20" s="499" customFormat="1" ht="23.25" customHeight="1">
      <c r="A38" s="493">
        <v>2.2</v>
      </c>
      <c r="B38" s="502" t="s">
        <v>461</v>
      </c>
      <c r="C38" s="503">
        <f>D38+E38</f>
        <v>120</v>
      </c>
      <c r="D38" s="503">
        <v>74</v>
      </c>
      <c r="E38" s="503">
        <v>46</v>
      </c>
      <c r="F38" s="503">
        <v>2</v>
      </c>
      <c r="G38" s="503"/>
      <c r="H38" s="503">
        <f>I38+Q38</f>
        <v>118</v>
      </c>
      <c r="I38" s="503">
        <f>J38+K38+L38+M38+N38+O38+P38</f>
        <v>58</v>
      </c>
      <c r="J38" s="503">
        <v>30</v>
      </c>
      <c r="K38" s="503">
        <v>0</v>
      </c>
      <c r="L38" s="503">
        <v>26</v>
      </c>
      <c r="M38" s="503"/>
      <c r="N38" s="503"/>
      <c r="O38" s="503"/>
      <c r="P38" s="504">
        <v>2</v>
      </c>
      <c r="Q38" s="505">
        <v>60</v>
      </c>
      <c r="R38" s="496">
        <f t="shared" si="7"/>
        <v>88</v>
      </c>
      <c r="S38" s="497">
        <f t="shared" si="2"/>
        <v>51.724137931034484</v>
      </c>
      <c r="T38" s="498">
        <f t="shared" si="4"/>
        <v>0</v>
      </c>
    </row>
    <row r="39" spans="1:20" s="499" customFormat="1" ht="23.25" customHeight="1">
      <c r="A39" s="493">
        <v>2.3</v>
      </c>
      <c r="B39" s="502" t="s">
        <v>462</v>
      </c>
      <c r="C39" s="503">
        <f>D39+E39</f>
        <v>135</v>
      </c>
      <c r="D39" s="503">
        <v>95</v>
      </c>
      <c r="E39" s="503">
        <v>40</v>
      </c>
      <c r="F39" s="503"/>
      <c r="G39" s="503"/>
      <c r="H39" s="503">
        <f>I39+Q39</f>
        <v>135</v>
      </c>
      <c r="I39" s="503">
        <f>J39+K39+L39+M39+N39+O39+P39</f>
        <v>60</v>
      </c>
      <c r="J39" s="503">
        <v>30</v>
      </c>
      <c r="K39" s="503">
        <v>2</v>
      </c>
      <c r="L39" s="503">
        <v>26</v>
      </c>
      <c r="M39" s="503"/>
      <c r="N39" s="503">
        <v>1</v>
      </c>
      <c r="O39" s="503"/>
      <c r="P39" s="504">
        <v>1</v>
      </c>
      <c r="Q39" s="505">
        <v>75</v>
      </c>
      <c r="R39" s="496">
        <f t="shared" si="7"/>
        <v>103</v>
      </c>
      <c r="S39" s="497">
        <f t="shared" si="2"/>
        <v>53.333333333333336</v>
      </c>
      <c r="T39" s="498">
        <f t="shared" si="4"/>
        <v>0</v>
      </c>
    </row>
    <row r="40" spans="1:20" s="499" customFormat="1" ht="23.25" customHeight="1">
      <c r="A40" s="493">
        <v>2.4</v>
      </c>
      <c r="B40" s="502" t="s">
        <v>463</v>
      </c>
      <c r="C40" s="503">
        <v>0</v>
      </c>
      <c r="D40" s="503">
        <v>0</v>
      </c>
      <c r="E40" s="503">
        <v>0</v>
      </c>
      <c r="F40" s="503">
        <v>0</v>
      </c>
      <c r="G40" s="503">
        <v>0</v>
      </c>
      <c r="H40" s="503">
        <f>I40+Q40</f>
        <v>0</v>
      </c>
      <c r="I40" s="503">
        <f>J40+K40+L40+M40+N40+O40+P40</f>
        <v>0</v>
      </c>
      <c r="J40" s="503">
        <v>0</v>
      </c>
      <c r="K40" s="503">
        <v>0</v>
      </c>
      <c r="L40" s="503">
        <v>0</v>
      </c>
      <c r="M40" s="503">
        <v>0</v>
      </c>
      <c r="N40" s="503"/>
      <c r="O40" s="503"/>
      <c r="P40" s="504"/>
      <c r="Q40" s="505">
        <v>0</v>
      </c>
      <c r="R40" s="496">
        <f t="shared" si="7"/>
        <v>0</v>
      </c>
      <c r="S40" s="497" t="e">
        <f t="shared" si="2"/>
        <v>#DIV/0!</v>
      </c>
      <c r="T40" s="498">
        <f t="shared" si="4"/>
        <v>0</v>
      </c>
    </row>
    <row r="41" spans="1:20" s="472" customFormat="1" ht="23.25" customHeight="1">
      <c r="A41" s="429">
        <v>3</v>
      </c>
      <c r="B41" s="439" t="s">
        <v>464</v>
      </c>
      <c r="C41" s="486">
        <f aca="true" t="shared" si="11" ref="C41:Q41">C42+C43</f>
        <v>208</v>
      </c>
      <c r="D41" s="486">
        <f t="shared" si="11"/>
        <v>144</v>
      </c>
      <c r="E41" s="486">
        <f t="shared" si="11"/>
        <v>64</v>
      </c>
      <c r="F41" s="486">
        <f t="shared" si="11"/>
        <v>0</v>
      </c>
      <c r="G41" s="486">
        <f t="shared" si="11"/>
        <v>0</v>
      </c>
      <c r="H41" s="486">
        <f t="shared" si="11"/>
        <v>208</v>
      </c>
      <c r="I41" s="486">
        <f t="shared" si="11"/>
        <v>120</v>
      </c>
      <c r="J41" s="486">
        <f t="shared" si="11"/>
        <v>44</v>
      </c>
      <c r="K41" s="486">
        <f t="shared" si="11"/>
        <v>4</v>
      </c>
      <c r="L41" s="486">
        <f t="shared" si="11"/>
        <v>71</v>
      </c>
      <c r="M41" s="486">
        <f t="shared" si="11"/>
        <v>0</v>
      </c>
      <c r="N41" s="486">
        <f t="shared" si="11"/>
        <v>0</v>
      </c>
      <c r="O41" s="486">
        <f t="shared" si="11"/>
        <v>0</v>
      </c>
      <c r="P41" s="486">
        <f t="shared" si="11"/>
        <v>1</v>
      </c>
      <c r="Q41" s="486">
        <f t="shared" si="11"/>
        <v>88</v>
      </c>
      <c r="R41" s="492">
        <f t="shared" si="7"/>
        <v>160</v>
      </c>
      <c r="S41" s="428">
        <f t="shared" si="2"/>
        <v>40</v>
      </c>
      <c r="T41" s="471">
        <f t="shared" si="4"/>
        <v>0</v>
      </c>
    </row>
    <row r="42" spans="1:20" s="499" customFormat="1" ht="23.25" customHeight="1">
      <c r="A42" s="493">
        <v>3.1</v>
      </c>
      <c r="B42" s="506" t="s">
        <v>465</v>
      </c>
      <c r="C42" s="503">
        <f>D42+E42</f>
        <v>81</v>
      </c>
      <c r="D42" s="503">
        <v>44</v>
      </c>
      <c r="E42" s="503">
        <v>37</v>
      </c>
      <c r="F42" s="503">
        <v>0</v>
      </c>
      <c r="G42" s="503">
        <v>0</v>
      </c>
      <c r="H42" s="503">
        <f>I42+Q42</f>
        <v>81</v>
      </c>
      <c r="I42" s="503">
        <f>J42+K42+L42+M42+N42+O42+P42</f>
        <v>57</v>
      </c>
      <c r="J42" s="503">
        <v>27</v>
      </c>
      <c r="K42" s="503">
        <v>3</v>
      </c>
      <c r="L42" s="503">
        <v>26</v>
      </c>
      <c r="M42" s="503">
        <v>0</v>
      </c>
      <c r="N42" s="503">
        <v>0</v>
      </c>
      <c r="O42" s="503">
        <v>0</v>
      </c>
      <c r="P42" s="504">
        <v>1</v>
      </c>
      <c r="Q42" s="505">
        <v>24</v>
      </c>
      <c r="R42" s="496">
        <f t="shared" si="7"/>
        <v>51</v>
      </c>
      <c r="S42" s="497">
        <f t="shared" si="2"/>
        <v>52.63157894736842</v>
      </c>
      <c r="T42" s="498">
        <f t="shared" si="4"/>
        <v>0</v>
      </c>
    </row>
    <row r="43" spans="1:20" s="499" customFormat="1" ht="23.25" customHeight="1">
      <c r="A43" s="493">
        <v>3.2</v>
      </c>
      <c r="B43" s="506" t="s">
        <v>466</v>
      </c>
      <c r="C43" s="503">
        <f>D43+E43</f>
        <v>127</v>
      </c>
      <c r="D43" s="503">
        <v>100</v>
      </c>
      <c r="E43" s="503">
        <v>27</v>
      </c>
      <c r="F43" s="503">
        <v>0</v>
      </c>
      <c r="G43" s="503">
        <v>0</v>
      </c>
      <c r="H43" s="503">
        <f>I43+Q43</f>
        <v>127</v>
      </c>
      <c r="I43" s="503">
        <f>J43+K43+L43+M43+N43+O43+P43</f>
        <v>63</v>
      </c>
      <c r="J43" s="503">
        <v>17</v>
      </c>
      <c r="K43" s="503">
        <v>1</v>
      </c>
      <c r="L43" s="503">
        <v>45</v>
      </c>
      <c r="M43" s="503">
        <v>0</v>
      </c>
      <c r="N43" s="503">
        <v>0</v>
      </c>
      <c r="O43" s="503">
        <v>0</v>
      </c>
      <c r="P43" s="504">
        <v>0</v>
      </c>
      <c r="Q43" s="505">
        <v>64</v>
      </c>
      <c r="R43" s="496">
        <f t="shared" si="7"/>
        <v>109</v>
      </c>
      <c r="S43" s="497">
        <f t="shared" si="2"/>
        <v>28.57142857142857</v>
      </c>
      <c r="T43" s="498">
        <f t="shared" si="4"/>
        <v>0</v>
      </c>
    </row>
    <row r="44" spans="1:20" s="472" customFormat="1" ht="23.25" customHeight="1">
      <c r="A44" s="429">
        <v>4</v>
      </c>
      <c r="B44" s="439" t="s">
        <v>467</v>
      </c>
      <c r="C44" s="485"/>
      <c r="D44" s="485"/>
      <c r="E44" s="485"/>
      <c r="F44" s="485"/>
      <c r="G44" s="485"/>
      <c r="H44" s="485"/>
      <c r="I44" s="485"/>
      <c r="J44" s="485"/>
      <c r="K44" s="485"/>
      <c r="L44" s="485"/>
      <c r="M44" s="485"/>
      <c r="N44" s="485"/>
      <c r="O44" s="485"/>
      <c r="P44" s="485"/>
      <c r="Q44" s="485"/>
      <c r="R44" s="492">
        <f t="shared" si="7"/>
        <v>0</v>
      </c>
      <c r="S44" s="428" t="e">
        <f t="shared" si="2"/>
        <v>#DIV/0!</v>
      </c>
      <c r="T44" s="471">
        <f t="shared" si="4"/>
        <v>0</v>
      </c>
    </row>
    <row r="45" spans="1:20" s="499" customFormat="1" ht="23.25" customHeight="1">
      <c r="A45" s="493">
        <v>1</v>
      </c>
      <c r="B45" s="507" t="s">
        <v>468</v>
      </c>
      <c r="C45" s="501"/>
      <c r="D45" s="501"/>
      <c r="E45" s="501"/>
      <c r="F45" s="501"/>
      <c r="G45" s="501"/>
      <c r="H45" s="501"/>
      <c r="I45" s="501"/>
      <c r="J45" s="501"/>
      <c r="K45" s="501"/>
      <c r="L45" s="508"/>
      <c r="M45" s="508"/>
      <c r="N45" s="508"/>
      <c r="O45" s="509"/>
      <c r="P45" s="509"/>
      <c r="Q45" s="509"/>
      <c r="R45" s="496">
        <f t="shared" si="7"/>
        <v>0</v>
      </c>
      <c r="S45" s="497" t="e">
        <f t="shared" si="2"/>
        <v>#DIV/0!</v>
      </c>
      <c r="T45" s="498">
        <f t="shared" si="4"/>
        <v>0</v>
      </c>
    </row>
    <row r="46" spans="1:20" s="499" customFormat="1" ht="23.25" customHeight="1">
      <c r="A46" s="493">
        <v>2</v>
      </c>
      <c r="B46" s="507" t="s">
        <v>469</v>
      </c>
      <c r="C46" s="501"/>
      <c r="D46" s="501"/>
      <c r="E46" s="501"/>
      <c r="F46" s="501"/>
      <c r="G46" s="501"/>
      <c r="H46" s="501"/>
      <c r="I46" s="501"/>
      <c r="J46" s="501"/>
      <c r="K46" s="501"/>
      <c r="L46" s="508"/>
      <c r="M46" s="508"/>
      <c r="N46" s="508"/>
      <c r="O46" s="509"/>
      <c r="P46" s="509"/>
      <c r="Q46" s="509"/>
      <c r="R46" s="496">
        <f t="shared" si="7"/>
        <v>0</v>
      </c>
      <c r="S46" s="497" t="e">
        <f t="shared" si="2"/>
        <v>#DIV/0!</v>
      </c>
      <c r="T46" s="498">
        <f t="shared" si="4"/>
        <v>0</v>
      </c>
    </row>
    <row r="47" spans="1:20" s="472" customFormat="1" ht="23.25" customHeight="1">
      <c r="A47" s="429">
        <v>5</v>
      </c>
      <c r="B47" s="439" t="s">
        <v>470</v>
      </c>
      <c r="C47" s="487">
        <f>C48+C49+C50+C51+C52+C53+C54+C55</f>
        <v>2221</v>
      </c>
      <c r="D47" s="487">
        <f aca="true" t="shared" si="12" ref="D47:Q47">D48+D49+D50+D51+D52+D53+D54+D55</f>
        <v>1759</v>
      </c>
      <c r="E47" s="487">
        <f t="shared" si="12"/>
        <v>462</v>
      </c>
      <c r="F47" s="487">
        <f t="shared" si="12"/>
        <v>6</v>
      </c>
      <c r="G47" s="487">
        <f t="shared" si="12"/>
        <v>0</v>
      </c>
      <c r="H47" s="487">
        <f t="shared" si="12"/>
        <v>2215</v>
      </c>
      <c r="I47" s="487">
        <f t="shared" si="12"/>
        <v>769</v>
      </c>
      <c r="J47" s="487">
        <f t="shared" si="12"/>
        <v>158</v>
      </c>
      <c r="K47" s="487">
        <f t="shared" si="12"/>
        <v>1</v>
      </c>
      <c r="L47" s="487">
        <f t="shared" si="12"/>
        <v>608</v>
      </c>
      <c r="M47" s="487">
        <f t="shared" si="12"/>
        <v>0</v>
      </c>
      <c r="N47" s="487">
        <f t="shared" si="12"/>
        <v>0</v>
      </c>
      <c r="O47" s="487">
        <f t="shared" si="12"/>
        <v>0</v>
      </c>
      <c r="P47" s="487">
        <f t="shared" si="12"/>
        <v>2</v>
      </c>
      <c r="Q47" s="487">
        <f t="shared" si="12"/>
        <v>1446</v>
      </c>
      <c r="R47" s="492">
        <f t="shared" si="7"/>
        <v>2056</v>
      </c>
      <c r="S47" s="428">
        <f t="shared" si="2"/>
        <v>20.676202860858258</v>
      </c>
      <c r="T47" s="471">
        <f t="shared" si="4"/>
        <v>0</v>
      </c>
    </row>
    <row r="48" spans="1:20" s="499" customFormat="1" ht="23.25" customHeight="1">
      <c r="A48" s="511" t="s">
        <v>111</v>
      </c>
      <c r="B48" s="512" t="s">
        <v>471</v>
      </c>
      <c r="C48" s="510">
        <f>D48+E48</f>
        <v>143</v>
      </c>
      <c r="D48" s="510">
        <v>1</v>
      </c>
      <c r="E48" s="510">
        <v>142</v>
      </c>
      <c r="F48" s="510">
        <v>0</v>
      </c>
      <c r="G48" s="510">
        <v>0</v>
      </c>
      <c r="H48" s="510">
        <f>C48-F48</f>
        <v>143</v>
      </c>
      <c r="I48" s="510">
        <f>J48+K48+L48+M48+N48+O48+P48</f>
        <v>143</v>
      </c>
      <c r="J48" s="510">
        <v>66</v>
      </c>
      <c r="K48" s="510">
        <v>0</v>
      </c>
      <c r="L48" s="513">
        <v>77</v>
      </c>
      <c r="M48" s="510">
        <v>0</v>
      </c>
      <c r="N48" s="510">
        <v>0</v>
      </c>
      <c r="O48" s="510">
        <v>0</v>
      </c>
      <c r="P48" s="510">
        <v>0</v>
      </c>
      <c r="Q48" s="514">
        <f>H48-I48</f>
        <v>0</v>
      </c>
      <c r="R48" s="496">
        <f t="shared" si="7"/>
        <v>77</v>
      </c>
      <c r="S48" s="497">
        <f t="shared" si="2"/>
        <v>46.15384615384615</v>
      </c>
      <c r="T48" s="498">
        <f t="shared" si="4"/>
        <v>0</v>
      </c>
    </row>
    <row r="49" spans="1:20" s="499" customFormat="1" ht="23.25" customHeight="1">
      <c r="A49" s="511" t="s">
        <v>112</v>
      </c>
      <c r="B49" s="512" t="s">
        <v>472</v>
      </c>
      <c r="C49" s="510">
        <f aca="true" t="shared" si="13" ref="C49:C55">D49+E49</f>
        <v>256</v>
      </c>
      <c r="D49" s="510">
        <v>80</v>
      </c>
      <c r="E49" s="510">
        <v>176</v>
      </c>
      <c r="F49" s="510">
        <v>0</v>
      </c>
      <c r="G49" s="510">
        <v>0</v>
      </c>
      <c r="H49" s="510">
        <f aca="true" t="shared" si="14" ref="H49:H55">C49-F49</f>
        <v>256</v>
      </c>
      <c r="I49" s="510">
        <f aca="true" t="shared" si="15" ref="I49:I55">J49+K49+L49+M49+N49+O49+P49</f>
        <v>109</v>
      </c>
      <c r="J49" s="510">
        <v>15</v>
      </c>
      <c r="K49" s="510">
        <v>0</v>
      </c>
      <c r="L49" s="513">
        <v>92</v>
      </c>
      <c r="M49" s="510">
        <v>0</v>
      </c>
      <c r="N49" s="510">
        <v>0</v>
      </c>
      <c r="O49" s="510">
        <v>0</v>
      </c>
      <c r="P49" s="510">
        <v>2</v>
      </c>
      <c r="Q49" s="514">
        <f aca="true" t="shared" si="16" ref="Q49:Q55">H49-I49</f>
        <v>147</v>
      </c>
      <c r="R49" s="496">
        <f t="shared" si="7"/>
        <v>241</v>
      </c>
      <c r="S49" s="497">
        <f t="shared" si="2"/>
        <v>13.761467889908257</v>
      </c>
      <c r="T49" s="498">
        <f t="shared" si="4"/>
        <v>0</v>
      </c>
    </row>
    <row r="50" spans="1:20" s="499" customFormat="1" ht="23.25" customHeight="1">
      <c r="A50" s="511" t="s">
        <v>113</v>
      </c>
      <c r="B50" s="512" t="s">
        <v>583</v>
      </c>
      <c r="C50" s="510">
        <f t="shared" si="13"/>
        <v>303</v>
      </c>
      <c r="D50" s="510">
        <v>273</v>
      </c>
      <c r="E50" s="510">
        <v>30</v>
      </c>
      <c r="F50" s="510">
        <v>2</v>
      </c>
      <c r="G50" s="510">
        <v>0</v>
      </c>
      <c r="H50" s="510">
        <f t="shared" si="14"/>
        <v>301</v>
      </c>
      <c r="I50" s="510">
        <f t="shared" si="15"/>
        <v>113</v>
      </c>
      <c r="J50" s="510">
        <v>19</v>
      </c>
      <c r="K50" s="510">
        <v>0</v>
      </c>
      <c r="L50" s="513">
        <v>94</v>
      </c>
      <c r="M50" s="510">
        <v>0</v>
      </c>
      <c r="N50" s="510">
        <v>0</v>
      </c>
      <c r="O50" s="510">
        <v>0</v>
      </c>
      <c r="P50" s="510">
        <v>0</v>
      </c>
      <c r="Q50" s="514">
        <f>H50-I50</f>
        <v>188</v>
      </c>
      <c r="R50" s="496">
        <f t="shared" si="7"/>
        <v>282</v>
      </c>
      <c r="S50" s="497">
        <f t="shared" si="2"/>
        <v>16.8141592920354</v>
      </c>
      <c r="T50" s="498">
        <f t="shared" si="4"/>
        <v>0</v>
      </c>
    </row>
    <row r="51" spans="1:20" s="499" customFormat="1" ht="23.25" customHeight="1">
      <c r="A51" s="511" t="s">
        <v>474</v>
      </c>
      <c r="B51" s="512" t="s">
        <v>475</v>
      </c>
      <c r="C51" s="510">
        <f t="shared" si="13"/>
        <v>201</v>
      </c>
      <c r="D51" s="510">
        <v>179</v>
      </c>
      <c r="E51" s="510">
        <v>22</v>
      </c>
      <c r="F51" s="510">
        <v>3</v>
      </c>
      <c r="G51" s="510">
        <v>0</v>
      </c>
      <c r="H51" s="510">
        <f t="shared" si="14"/>
        <v>198</v>
      </c>
      <c r="I51" s="510">
        <f t="shared" si="15"/>
        <v>70</v>
      </c>
      <c r="J51" s="510">
        <v>27</v>
      </c>
      <c r="K51" s="510">
        <v>1</v>
      </c>
      <c r="L51" s="513">
        <v>42</v>
      </c>
      <c r="M51" s="510">
        <v>0</v>
      </c>
      <c r="N51" s="510">
        <v>0</v>
      </c>
      <c r="O51" s="510">
        <v>0</v>
      </c>
      <c r="P51" s="510">
        <v>0</v>
      </c>
      <c r="Q51" s="514">
        <f t="shared" si="16"/>
        <v>128</v>
      </c>
      <c r="R51" s="496">
        <f t="shared" si="7"/>
        <v>170</v>
      </c>
      <c r="S51" s="497">
        <f t="shared" si="2"/>
        <v>40</v>
      </c>
      <c r="T51" s="498">
        <f t="shared" si="4"/>
        <v>0</v>
      </c>
    </row>
    <row r="52" spans="1:20" s="499" customFormat="1" ht="23.25" customHeight="1">
      <c r="A52" s="511" t="s">
        <v>476</v>
      </c>
      <c r="B52" s="512" t="s">
        <v>477</v>
      </c>
      <c r="C52" s="510">
        <f t="shared" si="13"/>
        <v>394</v>
      </c>
      <c r="D52" s="510">
        <v>355</v>
      </c>
      <c r="E52" s="510">
        <v>39</v>
      </c>
      <c r="F52" s="510">
        <v>0</v>
      </c>
      <c r="G52" s="510">
        <v>0</v>
      </c>
      <c r="H52" s="510">
        <f t="shared" si="14"/>
        <v>394</v>
      </c>
      <c r="I52" s="510">
        <f t="shared" si="15"/>
        <v>119</v>
      </c>
      <c r="J52" s="510">
        <v>14</v>
      </c>
      <c r="K52" s="510">
        <v>0</v>
      </c>
      <c r="L52" s="513">
        <v>105</v>
      </c>
      <c r="M52" s="510">
        <v>0</v>
      </c>
      <c r="N52" s="510">
        <v>0</v>
      </c>
      <c r="O52" s="510">
        <v>0</v>
      </c>
      <c r="P52" s="510">
        <v>0</v>
      </c>
      <c r="Q52" s="514">
        <f t="shared" si="16"/>
        <v>275</v>
      </c>
      <c r="R52" s="496">
        <f t="shared" si="7"/>
        <v>380</v>
      </c>
      <c r="S52" s="497">
        <f t="shared" si="2"/>
        <v>11.76470588235294</v>
      </c>
      <c r="T52" s="498">
        <f t="shared" si="4"/>
        <v>0</v>
      </c>
    </row>
    <row r="53" spans="1:20" s="499" customFormat="1" ht="23.25" customHeight="1">
      <c r="A53" s="511" t="s">
        <v>478</v>
      </c>
      <c r="B53" s="512" t="s">
        <v>479</v>
      </c>
      <c r="C53" s="510">
        <f t="shared" si="13"/>
        <v>450</v>
      </c>
      <c r="D53" s="510">
        <v>420</v>
      </c>
      <c r="E53" s="510">
        <v>30</v>
      </c>
      <c r="F53" s="510">
        <v>1</v>
      </c>
      <c r="G53" s="510">
        <v>0</v>
      </c>
      <c r="H53" s="510">
        <f t="shared" si="14"/>
        <v>449</v>
      </c>
      <c r="I53" s="510">
        <f t="shared" si="15"/>
        <v>103</v>
      </c>
      <c r="J53" s="510">
        <v>9</v>
      </c>
      <c r="K53" s="510">
        <v>0</v>
      </c>
      <c r="L53" s="513">
        <v>94</v>
      </c>
      <c r="M53" s="510">
        <v>0</v>
      </c>
      <c r="N53" s="510">
        <v>0</v>
      </c>
      <c r="O53" s="510">
        <v>0</v>
      </c>
      <c r="P53" s="510">
        <v>0</v>
      </c>
      <c r="Q53" s="514">
        <f t="shared" si="16"/>
        <v>346</v>
      </c>
      <c r="R53" s="496">
        <f t="shared" si="7"/>
        <v>440</v>
      </c>
      <c r="S53" s="497">
        <f t="shared" si="2"/>
        <v>8.737864077669903</v>
      </c>
      <c r="T53" s="498">
        <f t="shared" si="4"/>
        <v>0</v>
      </c>
    </row>
    <row r="54" spans="1:20" s="499" customFormat="1" ht="23.25" customHeight="1">
      <c r="A54" s="511" t="s">
        <v>480</v>
      </c>
      <c r="B54" s="512" t="s">
        <v>481</v>
      </c>
      <c r="C54" s="510">
        <f t="shared" si="13"/>
        <v>374</v>
      </c>
      <c r="D54" s="510">
        <v>358</v>
      </c>
      <c r="E54" s="510">
        <v>16</v>
      </c>
      <c r="F54" s="510">
        <v>0</v>
      </c>
      <c r="G54" s="510">
        <v>0</v>
      </c>
      <c r="H54" s="510">
        <f t="shared" si="14"/>
        <v>374</v>
      </c>
      <c r="I54" s="510">
        <f t="shared" si="15"/>
        <v>94</v>
      </c>
      <c r="J54" s="510">
        <v>4</v>
      </c>
      <c r="K54" s="510">
        <v>0</v>
      </c>
      <c r="L54" s="513">
        <v>90</v>
      </c>
      <c r="M54" s="510">
        <v>0</v>
      </c>
      <c r="N54" s="510">
        <v>0</v>
      </c>
      <c r="O54" s="510">
        <v>0</v>
      </c>
      <c r="P54" s="510">
        <v>0</v>
      </c>
      <c r="Q54" s="514">
        <f t="shared" si="16"/>
        <v>280</v>
      </c>
      <c r="R54" s="496">
        <f t="shared" si="7"/>
        <v>370</v>
      </c>
      <c r="S54" s="497">
        <f t="shared" si="2"/>
        <v>4.25531914893617</v>
      </c>
      <c r="T54" s="498">
        <f t="shared" si="4"/>
        <v>0</v>
      </c>
    </row>
    <row r="55" spans="1:20" s="499" customFormat="1" ht="23.25" customHeight="1">
      <c r="A55" s="511" t="s">
        <v>482</v>
      </c>
      <c r="B55" s="512" t="s">
        <v>483</v>
      </c>
      <c r="C55" s="510">
        <f t="shared" si="13"/>
        <v>100</v>
      </c>
      <c r="D55" s="510">
        <v>93</v>
      </c>
      <c r="E55" s="515">
        <v>7</v>
      </c>
      <c r="F55" s="510">
        <v>0</v>
      </c>
      <c r="G55" s="510">
        <v>0</v>
      </c>
      <c r="H55" s="510">
        <f t="shared" si="14"/>
        <v>100</v>
      </c>
      <c r="I55" s="510">
        <f t="shared" si="15"/>
        <v>18</v>
      </c>
      <c r="J55" s="510">
        <v>4</v>
      </c>
      <c r="K55" s="510">
        <v>0</v>
      </c>
      <c r="L55" s="513">
        <v>14</v>
      </c>
      <c r="M55" s="510">
        <v>0</v>
      </c>
      <c r="N55" s="510">
        <v>0</v>
      </c>
      <c r="O55" s="510">
        <v>0</v>
      </c>
      <c r="P55" s="510">
        <v>0</v>
      </c>
      <c r="Q55" s="514">
        <f t="shared" si="16"/>
        <v>82</v>
      </c>
      <c r="R55" s="496">
        <f t="shared" si="7"/>
        <v>96</v>
      </c>
      <c r="S55" s="497">
        <f t="shared" si="2"/>
        <v>22.22222222222222</v>
      </c>
      <c r="T55" s="498">
        <f t="shared" si="4"/>
        <v>0</v>
      </c>
    </row>
    <row r="56" spans="1:20" s="472" customFormat="1" ht="23.25" customHeight="1">
      <c r="A56" s="429">
        <v>6</v>
      </c>
      <c r="B56" s="439" t="s">
        <v>484</v>
      </c>
      <c r="C56" s="485">
        <f>SUM(C57:C60)</f>
        <v>612</v>
      </c>
      <c r="D56" s="485">
        <f aca="true" t="shared" si="17" ref="D56:Q56">SUM(D57:D60)</f>
        <v>365</v>
      </c>
      <c r="E56" s="485">
        <f t="shared" si="17"/>
        <v>247</v>
      </c>
      <c r="F56" s="485">
        <f t="shared" si="17"/>
        <v>1</v>
      </c>
      <c r="G56" s="485">
        <f t="shared" si="17"/>
        <v>0</v>
      </c>
      <c r="H56" s="485">
        <f t="shared" si="17"/>
        <v>611</v>
      </c>
      <c r="I56" s="485">
        <f t="shared" si="17"/>
        <v>354</v>
      </c>
      <c r="J56" s="485">
        <f t="shared" si="17"/>
        <v>166</v>
      </c>
      <c r="K56" s="485">
        <f t="shared" si="17"/>
        <v>1</v>
      </c>
      <c r="L56" s="485">
        <f t="shared" si="17"/>
        <v>182</v>
      </c>
      <c r="M56" s="485">
        <f t="shared" si="17"/>
        <v>4</v>
      </c>
      <c r="N56" s="485">
        <f t="shared" si="17"/>
        <v>1</v>
      </c>
      <c r="O56" s="485">
        <f t="shared" si="17"/>
        <v>0</v>
      </c>
      <c r="P56" s="485">
        <f t="shared" si="17"/>
        <v>0</v>
      </c>
      <c r="Q56" s="485">
        <f t="shared" si="17"/>
        <v>257</v>
      </c>
      <c r="R56" s="492">
        <f t="shared" si="7"/>
        <v>444</v>
      </c>
      <c r="S56" s="428">
        <f t="shared" si="2"/>
        <v>47.175141242937855</v>
      </c>
      <c r="T56" s="471">
        <f t="shared" si="4"/>
        <v>0</v>
      </c>
    </row>
    <row r="57" spans="1:20" s="499" customFormat="1" ht="23.25" customHeight="1">
      <c r="A57" s="493">
        <v>1</v>
      </c>
      <c r="B57" s="516" t="s">
        <v>573</v>
      </c>
      <c r="C57" s="503">
        <f>D57+E57</f>
        <v>72</v>
      </c>
      <c r="D57" s="503">
        <v>35</v>
      </c>
      <c r="E57" s="503">
        <v>37</v>
      </c>
      <c r="F57" s="503"/>
      <c r="G57" s="503"/>
      <c r="H57" s="503">
        <f>I57+Q57</f>
        <v>72</v>
      </c>
      <c r="I57" s="503">
        <f>J57+K57+L57+M57+N57+O57+P57</f>
        <v>56</v>
      </c>
      <c r="J57" s="503">
        <v>18</v>
      </c>
      <c r="K57" s="503"/>
      <c r="L57" s="504">
        <v>38</v>
      </c>
      <c r="M57" s="504"/>
      <c r="N57" s="517"/>
      <c r="O57" s="517"/>
      <c r="P57" s="517"/>
      <c r="Q57" s="517">
        <v>16</v>
      </c>
      <c r="R57" s="496">
        <f t="shared" si="7"/>
        <v>54</v>
      </c>
      <c r="S57" s="497">
        <f t="shared" si="2"/>
        <v>32.142857142857146</v>
      </c>
      <c r="T57" s="498">
        <f t="shared" si="4"/>
        <v>0</v>
      </c>
    </row>
    <row r="58" spans="1:20" s="499" customFormat="1" ht="23.25" customHeight="1">
      <c r="A58" s="493">
        <v>2</v>
      </c>
      <c r="B58" s="516" t="s">
        <v>574</v>
      </c>
      <c r="C58" s="503">
        <f>D58+E58</f>
        <v>117</v>
      </c>
      <c r="D58" s="503">
        <v>81</v>
      </c>
      <c r="E58" s="503">
        <v>36</v>
      </c>
      <c r="F58" s="503"/>
      <c r="G58" s="503"/>
      <c r="H58" s="503">
        <f>I58+Q58</f>
        <v>117</v>
      </c>
      <c r="I58" s="503">
        <f>J58+K58+L58+M58+N58+O58+P58</f>
        <v>54</v>
      </c>
      <c r="J58" s="503">
        <v>26</v>
      </c>
      <c r="K58" s="503"/>
      <c r="L58" s="504">
        <v>28</v>
      </c>
      <c r="M58" s="504"/>
      <c r="N58" s="517"/>
      <c r="O58" s="517"/>
      <c r="P58" s="517"/>
      <c r="Q58" s="517">
        <v>63</v>
      </c>
      <c r="R58" s="496">
        <f t="shared" si="7"/>
        <v>91</v>
      </c>
      <c r="S58" s="497">
        <f t="shared" si="2"/>
        <v>48.148148148148145</v>
      </c>
      <c r="T58" s="498">
        <f t="shared" si="4"/>
        <v>0</v>
      </c>
    </row>
    <row r="59" spans="1:20" s="499" customFormat="1" ht="23.25" customHeight="1">
      <c r="A59" s="493">
        <v>3</v>
      </c>
      <c r="B59" s="516" t="s">
        <v>487</v>
      </c>
      <c r="C59" s="503">
        <f>D59+E59</f>
        <v>208</v>
      </c>
      <c r="D59" s="503">
        <v>108</v>
      </c>
      <c r="E59" s="503">
        <v>100</v>
      </c>
      <c r="F59" s="503">
        <v>1</v>
      </c>
      <c r="G59" s="503"/>
      <c r="H59" s="503">
        <f>I59+Q59</f>
        <v>207</v>
      </c>
      <c r="I59" s="503">
        <f>J59+K59+L59+M59+N59+O59+P59</f>
        <v>136</v>
      </c>
      <c r="J59" s="503">
        <v>65</v>
      </c>
      <c r="K59" s="503"/>
      <c r="L59" s="504">
        <v>68</v>
      </c>
      <c r="M59" s="504">
        <v>2</v>
      </c>
      <c r="N59" s="517">
        <v>1</v>
      </c>
      <c r="O59" s="517"/>
      <c r="P59" s="517"/>
      <c r="Q59" s="517">
        <v>71</v>
      </c>
      <c r="R59" s="496">
        <f t="shared" si="7"/>
        <v>142</v>
      </c>
      <c r="S59" s="497">
        <f t="shared" si="2"/>
        <v>47.794117647058826</v>
      </c>
      <c r="T59" s="498">
        <f t="shared" si="4"/>
        <v>0</v>
      </c>
    </row>
    <row r="60" spans="1:20" s="499" customFormat="1" ht="23.25" customHeight="1">
      <c r="A60" s="493">
        <v>4</v>
      </c>
      <c r="B60" s="516" t="s">
        <v>575</v>
      </c>
      <c r="C60" s="503">
        <f>D60+E60</f>
        <v>215</v>
      </c>
      <c r="D60" s="503">
        <v>141</v>
      </c>
      <c r="E60" s="503">
        <v>74</v>
      </c>
      <c r="F60" s="503"/>
      <c r="G60" s="503"/>
      <c r="H60" s="503">
        <f>I60+Q60</f>
        <v>215</v>
      </c>
      <c r="I60" s="503">
        <f>J60+K60+L60+M60+N60+O60+P60</f>
        <v>108</v>
      </c>
      <c r="J60" s="503">
        <v>57</v>
      </c>
      <c r="K60" s="503">
        <v>1</v>
      </c>
      <c r="L60" s="504">
        <v>48</v>
      </c>
      <c r="M60" s="504">
        <v>2</v>
      </c>
      <c r="N60" s="517"/>
      <c r="O60" s="517"/>
      <c r="P60" s="517"/>
      <c r="Q60" s="517">
        <v>107</v>
      </c>
      <c r="R60" s="496">
        <f t="shared" si="7"/>
        <v>157</v>
      </c>
      <c r="S60" s="497">
        <f t="shared" si="2"/>
        <v>53.70370370370371</v>
      </c>
      <c r="T60" s="498">
        <f t="shared" si="4"/>
        <v>0</v>
      </c>
    </row>
    <row r="61" spans="1:20" s="472" customFormat="1" ht="23.25" customHeight="1">
      <c r="A61" s="429">
        <v>7</v>
      </c>
      <c r="B61" s="430" t="s">
        <v>566</v>
      </c>
      <c r="C61" s="485">
        <f aca="true" t="shared" si="18" ref="C61:Q61">SUM(C62:C67)</f>
        <v>889</v>
      </c>
      <c r="D61" s="485">
        <f t="shared" si="18"/>
        <v>673</v>
      </c>
      <c r="E61" s="485">
        <f t="shared" si="18"/>
        <v>216</v>
      </c>
      <c r="F61" s="485">
        <f t="shared" si="18"/>
        <v>15</v>
      </c>
      <c r="G61" s="485">
        <f t="shared" si="18"/>
        <v>2</v>
      </c>
      <c r="H61" s="485">
        <f t="shared" si="18"/>
        <v>874</v>
      </c>
      <c r="I61" s="485">
        <f t="shared" si="18"/>
        <v>425</v>
      </c>
      <c r="J61" s="485">
        <f t="shared" si="18"/>
        <v>177</v>
      </c>
      <c r="K61" s="485">
        <f t="shared" si="18"/>
        <v>19</v>
      </c>
      <c r="L61" s="485">
        <f t="shared" si="18"/>
        <v>222</v>
      </c>
      <c r="M61" s="485">
        <f t="shared" si="18"/>
        <v>0</v>
      </c>
      <c r="N61" s="485">
        <f t="shared" si="18"/>
        <v>2</v>
      </c>
      <c r="O61" s="485">
        <f t="shared" si="18"/>
        <v>0</v>
      </c>
      <c r="P61" s="485">
        <f t="shared" si="18"/>
        <v>5</v>
      </c>
      <c r="Q61" s="485">
        <f t="shared" si="18"/>
        <v>449</v>
      </c>
      <c r="R61" s="492">
        <f t="shared" si="7"/>
        <v>678</v>
      </c>
      <c r="S61" s="428">
        <f t="shared" si="2"/>
        <v>46.11764705882353</v>
      </c>
      <c r="T61" s="471">
        <f t="shared" si="4"/>
        <v>0</v>
      </c>
    </row>
    <row r="62" spans="1:20" s="499" customFormat="1" ht="23.25" customHeight="1">
      <c r="A62" s="511" t="s">
        <v>43</v>
      </c>
      <c r="B62" s="518" t="s">
        <v>488</v>
      </c>
      <c r="C62" s="495">
        <f aca="true" t="shared" si="19" ref="C62:C67">D62+E62</f>
        <v>22</v>
      </c>
      <c r="D62" s="495">
        <v>9</v>
      </c>
      <c r="E62" s="495">
        <v>13</v>
      </c>
      <c r="F62" s="495"/>
      <c r="G62" s="495"/>
      <c r="H62" s="495">
        <f aca="true" t="shared" si="20" ref="H62:H67">I62+Q62</f>
        <v>22</v>
      </c>
      <c r="I62" s="495">
        <f aca="true" t="shared" si="21" ref="I62:I67">SUM(J62:P62)</f>
        <v>22</v>
      </c>
      <c r="J62" s="495">
        <v>10</v>
      </c>
      <c r="K62" s="495">
        <v>1</v>
      </c>
      <c r="L62" s="495">
        <v>11</v>
      </c>
      <c r="M62" s="495"/>
      <c r="N62" s="495"/>
      <c r="O62" s="495"/>
      <c r="P62" s="519"/>
      <c r="Q62" s="520">
        <v>0</v>
      </c>
      <c r="R62" s="496">
        <f t="shared" si="7"/>
        <v>11</v>
      </c>
      <c r="S62" s="497">
        <f t="shared" si="2"/>
        <v>50</v>
      </c>
      <c r="T62" s="498">
        <f t="shared" si="4"/>
        <v>0</v>
      </c>
    </row>
    <row r="63" spans="1:20" s="499" customFormat="1" ht="23.25" customHeight="1">
      <c r="A63" s="511" t="s">
        <v>44</v>
      </c>
      <c r="B63" s="518" t="s">
        <v>489</v>
      </c>
      <c r="C63" s="495">
        <f t="shared" si="19"/>
        <v>147</v>
      </c>
      <c r="D63" s="521">
        <v>115</v>
      </c>
      <c r="E63" s="521">
        <v>32</v>
      </c>
      <c r="F63" s="521">
        <v>1</v>
      </c>
      <c r="G63" s="521">
        <v>0</v>
      </c>
      <c r="H63" s="495">
        <f t="shared" si="20"/>
        <v>146</v>
      </c>
      <c r="I63" s="495">
        <f t="shared" si="21"/>
        <v>68</v>
      </c>
      <c r="J63" s="521">
        <v>22</v>
      </c>
      <c r="K63" s="521">
        <v>6</v>
      </c>
      <c r="L63" s="521">
        <v>34</v>
      </c>
      <c r="M63" s="521">
        <v>0</v>
      </c>
      <c r="N63" s="521">
        <v>2</v>
      </c>
      <c r="O63" s="521">
        <v>0</v>
      </c>
      <c r="P63" s="522">
        <v>4</v>
      </c>
      <c r="Q63" s="523">
        <v>78</v>
      </c>
      <c r="R63" s="496">
        <f t="shared" si="7"/>
        <v>118</v>
      </c>
      <c r="S63" s="497">
        <f t="shared" si="2"/>
        <v>41.17647058823529</v>
      </c>
      <c r="T63" s="498">
        <f t="shared" si="4"/>
        <v>0</v>
      </c>
    </row>
    <row r="64" spans="1:20" s="499" customFormat="1" ht="23.25" customHeight="1">
      <c r="A64" s="511" t="s">
        <v>47</v>
      </c>
      <c r="B64" s="518" t="s">
        <v>548</v>
      </c>
      <c r="C64" s="495">
        <f t="shared" si="19"/>
        <v>181</v>
      </c>
      <c r="D64" s="495">
        <v>142</v>
      </c>
      <c r="E64" s="495">
        <v>39</v>
      </c>
      <c r="F64" s="495">
        <v>7</v>
      </c>
      <c r="G64" s="495"/>
      <c r="H64" s="495">
        <f t="shared" si="20"/>
        <v>174</v>
      </c>
      <c r="I64" s="495">
        <f t="shared" si="21"/>
        <v>79</v>
      </c>
      <c r="J64" s="495">
        <v>32</v>
      </c>
      <c r="K64" s="495">
        <v>3</v>
      </c>
      <c r="L64" s="495">
        <v>44</v>
      </c>
      <c r="M64" s="495"/>
      <c r="N64" s="495"/>
      <c r="O64" s="495"/>
      <c r="P64" s="519">
        <v>0</v>
      </c>
      <c r="Q64" s="520">
        <v>95</v>
      </c>
      <c r="R64" s="496">
        <f t="shared" si="7"/>
        <v>139</v>
      </c>
      <c r="S64" s="497">
        <f t="shared" si="2"/>
        <v>44.303797468354425</v>
      </c>
      <c r="T64" s="498">
        <f t="shared" si="4"/>
        <v>0</v>
      </c>
    </row>
    <row r="65" spans="1:20" s="499" customFormat="1" ht="23.25" customHeight="1">
      <c r="A65" s="511" t="s">
        <v>56</v>
      </c>
      <c r="B65" s="518" t="s">
        <v>491</v>
      </c>
      <c r="C65" s="495">
        <f t="shared" si="19"/>
        <v>168</v>
      </c>
      <c r="D65" s="495">
        <v>133</v>
      </c>
      <c r="E65" s="495">
        <v>35</v>
      </c>
      <c r="F65" s="495">
        <v>3</v>
      </c>
      <c r="G65" s="495">
        <v>0</v>
      </c>
      <c r="H65" s="495">
        <f t="shared" si="20"/>
        <v>165</v>
      </c>
      <c r="I65" s="495">
        <f t="shared" si="21"/>
        <v>84</v>
      </c>
      <c r="J65" s="495">
        <v>43</v>
      </c>
      <c r="K65" s="495">
        <v>3</v>
      </c>
      <c r="L65" s="495">
        <v>38</v>
      </c>
      <c r="M65" s="495"/>
      <c r="N65" s="495"/>
      <c r="O65" s="495"/>
      <c r="P65" s="519">
        <v>0</v>
      </c>
      <c r="Q65" s="520">
        <v>81</v>
      </c>
      <c r="R65" s="496">
        <f t="shared" si="7"/>
        <v>119</v>
      </c>
      <c r="S65" s="497">
        <f t="shared" si="2"/>
        <v>54.761904761904766</v>
      </c>
      <c r="T65" s="498">
        <f t="shared" si="4"/>
        <v>0</v>
      </c>
    </row>
    <row r="66" spans="1:20" s="499" customFormat="1" ht="23.25" customHeight="1">
      <c r="A66" s="511" t="s">
        <v>57</v>
      </c>
      <c r="B66" s="518" t="s">
        <v>492</v>
      </c>
      <c r="C66" s="495">
        <f t="shared" si="19"/>
        <v>167</v>
      </c>
      <c r="D66" s="495">
        <v>122</v>
      </c>
      <c r="E66" s="495">
        <v>45</v>
      </c>
      <c r="F66" s="495"/>
      <c r="G66" s="495"/>
      <c r="H66" s="495">
        <f t="shared" si="20"/>
        <v>167</v>
      </c>
      <c r="I66" s="495">
        <f t="shared" si="21"/>
        <v>85</v>
      </c>
      <c r="J66" s="495">
        <v>36</v>
      </c>
      <c r="K66" s="495"/>
      <c r="L66" s="495">
        <v>48</v>
      </c>
      <c r="M66" s="495"/>
      <c r="N66" s="495"/>
      <c r="O66" s="495"/>
      <c r="P66" s="519">
        <v>1</v>
      </c>
      <c r="Q66" s="520">
        <v>82</v>
      </c>
      <c r="R66" s="496">
        <f t="shared" si="7"/>
        <v>131</v>
      </c>
      <c r="S66" s="497">
        <f t="shared" si="2"/>
        <v>42.35294117647059</v>
      </c>
      <c r="T66" s="498">
        <f t="shared" si="4"/>
        <v>0</v>
      </c>
    </row>
    <row r="67" spans="1:20" s="499" customFormat="1" ht="23.25" customHeight="1">
      <c r="A67" s="511" t="s">
        <v>58</v>
      </c>
      <c r="B67" s="518" t="s">
        <v>493</v>
      </c>
      <c r="C67" s="495">
        <f t="shared" si="19"/>
        <v>204</v>
      </c>
      <c r="D67" s="495">
        <v>152</v>
      </c>
      <c r="E67" s="495">
        <v>52</v>
      </c>
      <c r="F67" s="495">
        <v>4</v>
      </c>
      <c r="G67" s="495">
        <v>2</v>
      </c>
      <c r="H67" s="495">
        <f t="shared" si="20"/>
        <v>200</v>
      </c>
      <c r="I67" s="495">
        <f t="shared" si="21"/>
        <v>87</v>
      </c>
      <c r="J67" s="495">
        <v>34</v>
      </c>
      <c r="K67" s="495">
        <v>6</v>
      </c>
      <c r="L67" s="495">
        <f>47-2+2</f>
        <v>47</v>
      </c>
      <c r="M67" s="495"/>
      <c r="N67" s="495"/>
      <c r="O67" s="495"/>
      <c r="P67" s="519">
        <v>0</v>
      </c>
      <c r="Q67" s="520">
        <v>113</v>
      </c>
      <c r="R67" s="496">
        <f t="shared" si="7"/>
        <v>160</v>
      </c>
      <c r="S67" s="497">
        <f t="shared" si="2"/>
        <v>45.97701149425287</v>
      </c>
      <c r="T67" s="498">
        <f t="shared" si="4"/>
        <v>0</v>
      </c>
    </row>
    <row r="68" spans="1:20" s="472" customFormat="1" ht="23.25" customHeight="1">
      <c r="A68" s="429">
        <v>8</v>
      </c>
      <c r="B68" s="439" t="s">
        <v>494</v>
      </c>
      <c r="C68" s="490">
        <f>C69+C70+C71</f>
        <v>380</v>
      </c>
      <c r="D68" s="490">
        <f aca="true" t="shared" si="22" ref="D68:Q68">D69+D70+D71</f>
        <v>227</v>
      </c>
      <c r="E68" s="490">
        <f t="shared" si="22"/>
        <v>153</v>
      </c>
      <c r="F68" s="490">
        <f t="shared" si="22"/>
        <v>2</v>
      </c>
      <c r="G68" s="490">
        <f t="shared" si="22"/>
        <v>1</v>
      </c>
      <c r="H68" s="490">
        <f t="shared" si="22"/>
        <v>378</v>
      </c>
      <c r="I68" s="490">
        <f t="shared" si="22"/>
        <v>198</v>
      </c>
      <c r="J68" s="490">
        <f t="shared" si="22"/>
        <v>98</v>
      </c>
      <c r="K68" s="490">
        <f t="shared" si="22"/>
        <v>0</v>
      </c>
      <c r="L68" s="490">
        <f t="shared" si="22"/>
        <v>99</v>
      </c>
      <c r="M68" s="490">
        <f t="shared" si="22"/>
        <v>0</v>
      </c>
      <c r="N68" s="490">
        <f t="shared" si="22"/>
        <v>1</v>
      </c>
      <c r="O68" s="490">
        <f t="shared" si="22"/>
        <v>0</v>
      </c>
      <c r="P68" s="490">
        <f t="shared" si="22"/>
        <v>0</v>
      </c>
      <c r="Q68" s="490">
        <f t="shared" si="22"/>
        <v>180</v>
      </c>
      <c r="R68" s="492">
        <f t="shared" si="7"/>
        <v>280</v>
      </c>
      <c r="S68" s="428">
        <f t="shared" si="2"/>
        <v>49.494949494949495</v>
      </c>
      <c r="T68" s="471">
        <f t="shared" si="4"/>
        <v>0</v>
      </c>
    </row>
    <row r="69" spans="1:20" s="499" customFormat="1" ht="23.25" customHeight="1">
      <c r="A69" s="511" t="s">
        <v>495</v>
      </c>
      <c r="B69" s="507" t="s">
        <v>496</v>
      </c>
      <c r="C69" s="524">
        <f>D69+E69</f>
        <v>108</v>
      </c>
      <c r="D69" s="524">
        <v>53</v>
      </c>
      <c r="E69" s="524">
        <v>55</v>
      </c>
      <c r="F69" s="524">
        <v>1</v>
      </c>
      <c r="G69" s="524"/>
      <c r="H69" s="524">
        <f>I69+Q69</f>
        <v>107</v>
      </c>
      <c r="I69" s="524">
        <f>J69+K69+L69+M69+N69+O69+P69</f>
        <v>67</v>
      </c>
      <c r="J69" s="524">
        <v>40</v>
      </c>
      <c r="K69" s="524">
        <v>0</v>
      </c>
      <c r="L69" s="524">
        <v>27</v>
      </c>
      <c r="M69" s="524"/>
      <c r="N69" s="524"/>
      <c r="O69" s="524"/>
      <c r="P69" s="524"/>
      <c r="Q69" s="524">
        <v>40</v>
      </c>
      <c r="R69" s="496">
        <f t="shared" si="7"/>
        <v>67</v>
      </c>
      <c r="S69" s="497">
        <f t="shared" si="2"/>
        <v>59.70149253731343</v>
      </c>
      <c r="T69" s="498">
        <f t="shared" si="4"/>
        <v>0</v>
      </c>
    </row>
    <row r="70" spans="1:20" s="499" customFormat="1" ht="23.25" customHeight="1">
      <c r="A70" s="511" t="s">
        <v>497</v>
      </c>
      <c r="B70" s="507" t="s">
        <v>498</v>
      </c>
      <c r="C70" s="524">
        <f>D70+E70</f>
        <v>112</v>
      </c>
      <c r="D70" s="524">
        <v>64</v>
      </c>
      <c r="E70" s="524">
        <v>48</v>
      </c>
      <c r="F70" s="524">
        <v>1</v>
      </c>
      <c r="G70" s="524">
        <v>1</v>
      </c>
      <c r="H70" s="524">
        <f>I70+Q70</f>
        <v>111</v>
      </c>
      <c r="I70" s="524">
        <f>J70+K70+L70+M70+N70+O70+P70</f>
        <v>62</v>
      </c>
      <c r="J70" s="524">
        <v>31</v>
      </c>
      <c r="K70" s="524">
        <v>0</v>
      </c>
      <c r="L70" s="524">
        <v>30</v>
      </c>
      <c r="M70" s="524"/>
      <c r="N70" s="524">
        <v>1</v>
      </c>
      <c r="O70" s="524"/>
      <c r="P70" s="524"/>
      <c r="Q70" s="524">
        <v>49</v>
      </c>
      <c r="R70" s="496">
        <f t="shared" si="7"/>
        <v>80</v>
      </c>
      <c r="S70" s="497">
        <f t="shared" si="2"/>
        <v>50</v>
      </c>
      <c r="T70" s="498">
        <f t="shared" si="4"/>
        <v>0</v>
      </c>
    </row>
    <row r="71" spans="1:20" s="499" customFormat="1" ht="23.25" customHeight="1">
      <c r="A71" s="511" t="s">
        <v>549</v>
      </c>
      <c r="B71" s="507" t="s">
        <v>490</v>
      </c>
      <c r="C71" s="524">
        <f>D71+E71</f>
        <v>160</v>
      </c>
      <c r="D71" s="524">
        <v>110</v>
      </c>
      <c r="E71" s="524">
        <v>50</v>
      </c>
      <c r="F71" s="524"/>
      <c r="G71" s="524"/>
      <c r="H71" s="524">
        <f>I71+Q71</f>
        <v>160</v>
      </c>
      <c r="I71" s="524">
        <f>J71+K71+L71+M71+N71+O71+P71</f>
        <v>69</v>
      </c>
      <c r="J71" s="524">
        <v>27</v>
      </c>
      <c r="K71" s="524"/>
      <c r="L71" s="524">
        <v>42</v>
      </c>
      <c r="M71" s="524"/>
      <c r="N71" s="524"/>
      <c r="O71" s="524"/>
      <c r="P71" s="524"/>
      <c r="Q71" s="524">
        <v>91</v>
      </c>
      <c r="R71" s="496">
        <f t="shared" si="7"/>
        <v>133</v>
      </c>
      <c r="S71" s="497">
        <f t="shared" si="2"/>
        <v>39.130434782608695</v>
      </c>
      <c r="T71" s="498">
        <f t="shared" si="4"/>
        <v>0</v>
      </c>
    </row>
    <row r="72" spans="1:20" s="472" customFormat="1" ht="23.25" customHeight="1">
      <c r="A72" s="429">
        <v>9</v>
      </c>
      <c r="B72" s="439" t="s">
        <v>499</v>
      </c>
      <c r="C72" s="488">
        <f>SUM(C73:C75)</f>
        <v>337</v>
      </c>
      <c r="D72" s="488">
        <f aca="true" t="shared" si="23" ref="D72:Q72">SUM(D73:D75)</f>
        <v>199</v>
      </c>
      <c r="E72" s="488">
        <f t="shared" si="23"/>
        <v>138</v>
      </c>
      <c r="F72" s="488">
        <f t="shared" si="23"/>
        <v>1</v>
      </c>
      <c r="G72" s="488">
        <f t="shared" si="23"/>
        <v>0</v>
      </c>
      <c r="H72" s="488">
        <f t="shared" si="23"/>
        <v>336</v>
      </c>
      <c r="I72" s="488">
        <f t="shared" si="23"/>
        <v>219</v>
      </c>
      <c r="J72" s="488">
        <f t="shared" si="23"/>
        <v>120</v>
      </c>
      <c r="K72" s="488">
        <f t="shared" si="23"/>
        <v>5</v>
      </c>
      <c r="L72" s="488">
        <f t="shared" si="23"/>
        <v>94</v>
      </c>
      <c r="M72" s="488">
        <f t="shared" si="23"/>
        <v>0</v>
      </c>
      <c r="N72" s="488">
        <f t="shared" si="23"/>
        <v>0</v>
      </c>
      <c r="O72" s="488">
        <f t="shared" si="23"/>
        <v>0</v>
      </c>
      <c r="P72" s="488">
        <f t="shared" si="23"/>
        <v>0</v>
      </c>
      <c r="Q72" s="488">
        <f t="shared" si="23"/>
        <v>117</v>
      </c>
      <c r="R72" s="492">
        <f t="shared" si="7"/>
        <v>211</v>
      </c>
      <c r="S72" s="428">
        <f t="shared" si="2"/>
        <v>57.077625570776256</v>
      </c>
      <c r="T72" s="471">
        <f t="shared" si="4"/>
        <v>0</v>
      </c>
    </row>
    <row r="73" spans="1:20" s="499" customFormat="1" ht="23.25" customHeight="1">
      <c r="A73" s="502" t="s">
        <v>500</v>
      </c>
      <c r="B73" s="502" t="s">
        <v>501</v>
      </c>
      <c r="C73" s="495">
        <f>SUM(D73:E73)</f>
        <v>96</v>
      </c>
      <c r="D73" s="495">
        <v>52</v>
      </c>
      <c r="E73" s="495">
        <f>18+20+6</f>
        <v>44</v>
      </c>
      <c r="F73" s="495">
        <v>0</v>
      </c>
      <c r="G73" s="495">
        <v>0</v>
      </c>
      <c r="H73" s="495">
        <f>SUM(I73,Q73)</f>
        <v>96</v>
      </c>
      <c r="I73" s="495">
        <f>SUM(J73:P73)</f>
        <v>61</v>
      </c>
      <c r="J73" s="495">
        <f>37+7</f>
        <v>44</v>
      </c>
      <c r="K73" s="495">
        <v>1</v>
      </c>
      <c r="L73" s="495">
        <f>C73-J73-K73-M73-N73-O73-P73-Q73-F73-G73</f>
        <v>16</v>
      </c>
      <c r="M73" s="495">
        <v>0</v>
      </c>
      <c r="N73" s="495">
        <v>0</v>
      </c>
      <c r="O73" s="495">
        <v>0</v>
      </c>
      <c r="P73" s="519">
        <v>0</v>
      </c>
      <c r="Q73" s="520">
        <v>35</v>
      </c>
      <c r="R73" s="496">
        <f t="shared" si="7"/>
        <v>51</v>
      </c>
      <c r="S73" s="497">
        <f t="shared" si="2"/>
        <v>73.77049180327869</v>
      </c>
      <c r="T73" s="498">
        <f t="shared" si="4"/>
        <v>0</v>
      </c>
    </row>
    <row r="74" spans="1:20" s="499" customFormat="1" ht="23.25" customHeight="1">
      <c r="A74" s="502" t="s">
        <v>502</v>
      </c>
      <c r="B74" s="502" t="s">
        <v>503</v>
      </c>
      <c r="C74" s="495">
        <f>SUM(D74:E74)</f>
        <v>144</v>
      </c>
      <c r="D74" s="495">
        <v>98</v>
      </c>
      <c r="E74" s="495">
        <f>15+12+10+9</f>
        <v>46</v>
      </c>
      <c r="F74" s="495">
        <v>0</v>
      </c>
      <c r="G74" s="495">
        <v>0</v>
      </c>
      <c r="H74" s="495">
        <f>SUM(I74,Q74)</f>
        <v>144</v>
      </c>
      <c r="I74" s="495">
        <f>SUM(J74:P74)</f>
        <v>97</v>
      </c>
      <c r="J74" s="495">
        <f>8+8+10+15</f>
        <v>41</v>
      </c>
      <c r="K74" s="495">
        <v>3</v>
      </c>
      <c r="L74" s="495">
        <f>C74-J74-K74-M74-N74-O74-P74-Q74-F74-G74</f>
        <v>53</v>
      </c>
      <c r="M74" s="495">
        <v>0</v>
      </c>
      <c r="N74" s="495">
        <v>0</v>
      </c>
      <c r="O74" s="495">
        <v>0</v>
      </c>
      <c r="P74" s="519">
        <v>0</v>
      </c>
      <c r="Q74" s="520">
        <v>47</v>
      </c>
      <c r="R74" s="496">
        <f t="shared" si="7"/>
        <v>100</v>
      </c>
      <c r="S74" s="497">
        <f t="shared" si="2"/>
        <v>45.36082474226804</v>
      </c>
      <c r="T74" s="498">
        <f t="shared" si="4"/>
        <v>0</v>
      </c>
    </row>
    <row r="75" spans="1:20" s="499" customFormat="1" ht="23.25" customHeight="1">
      <c r="A75" s="502" t="s">
        <v>504</v>
      </c>
      <c r="B75" s="502" t="s">
        <v>505</v>
      </c>
      <c r="C75" s="495">
        <f>SUM(D75:E75)</f>
        <v>97</v>
      </c>
      <c r="D75" s="495">
        <v>49</v>
      </c>
      <c r="E75" s="495">
        <f>11+22+15</f>
        <v>48</v>
      </c>
      <c r="F75" s="495">
        <f>1</f>
        <v>1</v>
      </c>
      <c r="G75" s="495">
        <v>0</v>
      </c>
      <c r="H75" s="495">
        <f>SUM(I75,Q75)</f>
        <v>96</v>
      </c>
      <c r="I75" s="495">
        <f>SUM(J75:P75)</f>
        <v>61</v>
      </c>
      <c r="J75" s="495">
        <f>31+4</f>
        <v>35</v>
      </c>
      <c r="K75" s="495">
        <f>1</f>
        <v>1</v>
      </c>
      <c r="L75" s="495">
        <f>C75-J75-K75-M75-N75-O75-P75-Q75-F75-G75</f>
        <v>25</v>
      </c>
      <c r="M75" s="495">
        <v>0</v>
      </c>
      <c r="N75" s="495">
        <v>0</v>
      </c>
      <c r="O75" s="495">
        <v>0</v>
      </c>
      <c r="P75" s="519">
        <f>0</f>
        <v>0</v>
      </c>
      <c r="Q75" s="520">
        <v>35</v>
      </c>
      <c r="R75" s="496">
        <f t="shared" si="7"/>
        <v>60</v>
      </c>
      <c r="S75" s="497">
        <f t="shared" si="2"/>
        <v>59.01639344262295</v>
      </c>
      <c r="T75" s="498">
        <f t="shared" si="4"/>
        <v>0</v>
      </c>
    </row>
    <row r="76" spans="1:20" s="472" customFormat="1" ht="23.25" customHeight="1">
      <c r="A76" s="429">
        <v>10</v>
      </c>
      <c r="B76" s="439" t="s">
        <v>506</v>
      </c>
      <c r="C76" s="491">
        <f>SUM(C77:C86)</f>
        <v>1499</v>
      </c>
      <c r="D76" s="491">
        <f aca="true" t="shared" si="24" ref="D76:Q76">SUM(D77:D86)</f>
        <v>1232</v>
      </c>
      <c r="E76" s="491">
        <f t="shared" si="24"/>
        <v>267</v>
      </c>
      <c r="F76" s="491">
        <f t="shared" si="24"/>
        <v>6</v>
      </c>
      <c r="G76" s="491">
        <f t="shared" si="24"/>
        <v>0</v>
      </c>
      <c r="H76" s="491">
        <f t="shared" si="24"/>
        <v>1493</v>
      </c>
      <c r="I76" s="491">
        <f t="shared" si="24"/>
        <v>642</v>
      </c>
      <c r="J76" s="491">
        <f t="shared" si="24"/>
        <v>145</v>
      </c>
      <c r="K76" s="491">
        <f t="shared" si="24"/>
        <v>14</v>
      </c>
      <c r="L76" s="491">
        <f t="shared" si="24"/>
        <v>468</v>
      </c>
      <c r="M76" s="491">
        <f t="shared" si="24"/>
        <v>10</v>
      </c>
      <c r="N76" s="491">
        <f t="shared" si="24"/>
        <v>0</v>
      </c>
      <c r="O76" s="491">
        <f t="shared" si="24"/>
        <v>0</v>
      </c>
      <c r="P76" s="491">
        <f t="shared" si="24"/>
        <v>5</v>
      </c>
      <c r="Q76" s="491">
        <f t="shared" si="24"/>
        <v>851</v>
      </c>
      <c r="R76" s="492">
        <f t="shared" si="7"/>
        <v>1334</v>
      </c>
      <c r="S76" s="428">
        <f aca="true" t="shared" si="25" ref="S76:S113">(J76+K76)/I76*100</f>
        <v>24.766355140186917</v>
      </c>
      <c r="T76" s="471">
        <f aca="true" t="shared" si="26" ref="T76:T113">C76-F76-H76</f>
        <v>0</v>
      </c>
    </row>
    <row r="77" spans="1:20" s="499" customFormat="1" ht="23.25" customHeight="1">
      <c r="A77" s="526" t="s">
        <v>533</v>
      </c>
      <c r="B77" s="527" t="s">
        <v>473</v>
      </c>
      <c r="C77" s="525">
        <v>28</v>
      </c>
      <c r="D77" s="525">
        <v>25</v>
      </c>
      <c r="E77" s="525">
        <v>3</v>
      </c>
      <c r="F77" s="525">
        <v>0</v>
      </c>
      <c r="G77" s="525">
        <v>0</v>
      </c>
      <c r="H77" s="525">
        <v>28</v>
      </c>
      <c r="I77" s="525">
        <v>5</v>
      </c>
      <c r="J77" s="525">
        <v>2</v>
      </c>
      <c r="K77" s="525">
        <v>0</v>
      </c>
      <c r="L77" s="525">
        <v>3</v>
      </c>
      <c r="M77" s="525">
        <v>0</v>
      </c>
      <c r="N77" s="525">
        <v>0</v>
      </c>
      <c r="O77" s="525">
        <v>0</v>
      </c>
      <c r="P77" s="525">
        <v>0</v>
      </c>
      <c r="Q77" s="525">
        <v>23</v>
      </c>
      <c r="R77" s="496">
        <f t="shared" si="7"/>
        <v>26</v>
      </c>
      <c r="S77" s="497">
        <f t="shared" si="25"/>
        <v>40</v>
      </c>
      <c r="T77" s="498">
        <f t="shared" si="26"/>
        <v>0</v>
      </c>
    </row>
    <row r="78" spans="1:20" s="499" customFormat="1" ht="23.25" customHeight="1">
      <c r="A78" s="526" t="s">
        <v>567</v>
      </c>
      <c r="B78" s="527" t="s">
        <v>568</v>
      </c>
      <c r="C78" s="525">
        <v>166</v>
      </c>
      <c r="D78" s="525">
        <v>135</v>
      </c>
      <c r="E78" s="525">
        <v>31</v>
      </c>
      <c r="F78" s="525">
        <v>1</v>
      </c>
      <c r="G78" s="525">
        <v>0</v>
      </c>
      <c r="H78" s="525">
        <v>165</v>
      </c>
      <c r="I78" s="525">
        <v>62</v>
      </c>
      <c r="J78" s="525">
        <v>10</v>
      </c>
      <c r="K78" s="525">
        <v>0</v>
      </c>
      <c r="L78" s="525">
        <v>52</v>
      </c>
      <c r="M78" s="525">
        <v>0</v>
      </c>
      <c r="N78" s="525">
        <v>0</v>
      </c>
      <c r="O78" s="525">
        <v>0</v>
      </c>
      <c r="P78" s="525">
        <v>0</v>
      </c>
      <c r="Q78" s="525">
        <v>103</v>
      </c>
      <c r="R78" s="496">
        <f aca="true" t="shared" si="27" ref="R78:R113">SUM(L78:Q78)</f>
        <v>155</v>
      </c>
      <c r="S78" s="497">
        <f t="shared" si="25"/>
        <v>16.129032258064516</v>
      </c>
      <c r="T78" s="498">
        <f t="shared" si="26"/>
        <v>0</v>
      </c>
    </row>
    <row r="79" spans="1:20" s="499" customFormat="1" ht="23.25" customHeight="1">
      <c r="A79" s="526" t="s">
        <v>534</v>
      </c>
      <c r="B79" s="527" t="s">
        <v>507</v>
      </c>
      <c r="C79" s="525">
        <v>209</v>
      </c>
      <c r="D79" s="525">
        <v>165</v>
      </c>
      <c r="E79" s="525">
        <v>44</v>
      </c>
      <c r="F79" s="525">
        <v>0</v>
      </c>
      <c r="G79" s="525">
        <v>0</v>
      </c>
      <c r="H79" s="525">
        <v>209</v>
      </c>
      <c r="I79" s="525">
        <v>90</v>
      </c>
      <c r="J79" s="525">
        <v>27</v>
      </c>
      <c r="K79" s="525">
        <v>1</v>
      </c>
      <c r="L79" s="525">
        <v>59</v>
      </c>
      <c r="M79" s="525">
        <v>0</v>
      </c>
      <c r="N79" s="525">
        <v>0</v>
      </c>
      <c r="O79" s="525">
        <v>0</v>
      </c>
      <c r="P79" s="525">
        <v>3</v>
      </c>
      <c r="Q79" s="525">
        <v>119</v>
      </c>
      <c r="R79" s="496">
        <f t="shared" si="27"/>
        <v>181</v>
      </c>
      <c r="S79" s="497">
        <f t="shared" si="25"/>
        <v>31.11111111111111</v>
      </c>
      <c r="T79" s="498">
        <f t="shared" si="26"/>
        <v>0</v>
      </c>
    </row>
    <row r="80" spans="1:20" s="499" customFormat="1" ht="23.25" customHeight="1">
      <c r="A80" s="526" t="s">
        <v>535</v>
      </c>
      <c r="B80" s="527" t="s">
        <v>569</v>
      </c>
      <c r="C80" s="525">
        <v>160</v>
      </c>
      <c r="D80" s="525">
        <v>142</v>
      </c>
      <c r="E80" s="525">
        <v>18</v>
      </c>
      <c r="F80" s="525">
        <v>1</v>
      </c>
      <c r="G80" s="525">
        <v>0</v>
      </c>
      <c r="H80" s="525">
        <v>159</v>
      </c>
      <c r="I80" s="525">
        <v>60</v>
      </c>
      <c r="J80" s="525">
        <v>17</v>
      </c>
      <c r="K80" s="525">
        <v>1</v>
      </c>
      <c r="L80" s="525">
        <v>40</v>
      </c>
      <c r="M80" s="525">
        <v>0</v>
      </c>
      <c r="N80" s="525">
        <v>0</v>
      </c>
      <c r="O80" s="525">
        <v>0</v>
      </c>
      <c r="P80" s="525">
        <v>2</v>
      </c>
      <c r="Q80" s="525">
        <v>99</v>
      </c>
      <c r="R80" s="496">
        <f t="shared" si="27"/>
        <v>141</v>
      </c>
      <c r="S80" s="497">
        <f t="shared" si="25"/>
        <v>30</v>
      </c>
      <c r="T80" s="498">
        <f t="shared" si="26"/>
        <v>0</v>
      </c>
    </row>
    <row r="81" spans="1:20" s="499" customFormat="1" ht="23.25" customHeight="1">
      <c r="A81" s="526" t="s">
        <v>536</v>
      </c>
      <c r="B81" s="527" t="s">
        <v>508</v>
      </c>
      <c r="C81" s="525">
        <v>118</v>
      </c>
      <c r="D81" s="525">
        <v>97</v>
      </c>
      <c r="E81" s="525">
        <v>21</v>
      </c>
      <c r="F81" s="525">
        <v>0</v>
      </c>
      <c r="G81" s="525">
        <v>0</v>
      </c>
      <c r="H81" s="525">
        <v>118</v>
      </c>
      <c r="I81" s="525">
        <v>64</v>
      </c>
      <c r="J81" s="525">
        <v>7</v>
      </c>
      <c r="K81" s="525">
        <v>3</v>
      </c>
      <c r="L81" s="525">
        <v>54</v>
      </c>
      <c r="M81" s="525">
        <v>0</v>
      </c>
      <c r="N81" s="525">
        <v>0</v>
      </c>
      <c r="O81" s="525">
        <v>0</v>
      </c>
      <c r="P81" s="525">
        <v>0</v>
      </c>
      <c r="Q81" s="525">
        <v>54</v>
      </c>
      <c r="R81" s="496">
        <f t="shared" si="27"/>
        <v>108</v>
      </c>
      <c r="S81" s="497">
        <f t="shared" si="25"/>
        <v>15.625</v>
      </c>
      <c r="T81" s="498">
        <f t="shared" si="26"/>
        <v>0</v>
      </c>
    </row>
    <row r="82" spans="1:20" s="499" customFormat="1" ht="23.25" customHeight="1">
      <c r="A82" s="526" t="s">
        <v>537</v>
      </c>
      <c r="B82" s="527" t="s">
        <v>510</v>
      </c>
      <c r="C82" s="525">
        <v>166</v>
      </c>
      <c r="D82" s="525">
        <v>128</v>
      </c>
      <c r="E82" s="525">
        <v>38</v>
      </c>
      <c r="F82" s="525">
        <v>3</v>
      </c>
      <c r="G82" s="525">
        <v>0</v>
      </c>
      <c r="H82" s="525">
        <v>163</v>
      </c>
      <c r="I82" s="525">
        <v>78</v>
      </c>
      <c r="J82" s="525">
        <v>16</v>
      </c>
      <c r="K82" s="525">
        <v>0</v>
      </c>
      <c r="L82" s="525">
        <v>55</v>
      </c>
      <c r="M82" s="525">
        <v>7</v>
      </c>
      <c r="N82" s="525">
        <v>0</v>
      </c>
      <c r="O82" s="525">
        <v>0</v>
      </c>
      <c r="P82" s="525">
        <v>0</v>
      </c>
      <c r="Q82" s="525">
        <v>85</v>
      </c>
      <c r="R82" s="496">
        <f t="shared" si="27"/>
        <v>147</v>
      </c>
      <c r="S82" s="497">
        <f t="shared" si="25"/>
        <v>20.51282051282051</v>
      </c>
      <c r="T82" s="498">
        <f t="shared" si="26"/>
        <v>0</v>
      </c>
    </row>
    <row r="83" spans="1:20" s="499" customFormat="1" ht="23.25" customHeight="1">
      <c r="A83" s="526" t="s">
        <v>509</v>
      </c>
      <c r="B83" s="528" t="s">
        <v>570</v>
      </c>
      <c r="C83" s="529">
        <v>184</v>
      </c>
      <c r="D83" s="529">
        <v>163</v>
      </c>
      <c r="E83" s="529">
        <v>21</v>
      </c>
      <c r="F83" s="529">
        <v>0</v>
      </c>
      <c r="G83" s="529">
        <v>0</v>
      </c>
      <c r="H83" s="529">
        <v>184</v>
      </c>
      <c r="I83" s="529">
        <v>79</v>
      </c>
      <c r="J83" s="529">
        <v>18</v>
      </c>
      <c r="K83" s="529">
        <v>0</v>
      </c>
      <c r="L83" s="529">
        <v>58</v>
      </c>
      <c r="M83" s="529">
        <v>3</v>
      </c>
      <c r="N83" s="529">
        <v>0</v>
      </c>
      <c r="O83" s="529">
        <v>0</v>
      </c>
      <c r="P83" s="529">
        <v>0</v>
      </c>
      <c r="Q83" s="529">
        <v>105</v>
      </c>
      <c r="R83" s="496">
        <f t="shared" si="27"/>
        <v>166</v>
      </c>
      <c r="S83" s="497">
        <f t="shared" si="25"/>
        <v>22.78481012658228</v>
      </c>
      <c r="T83" s="498">
        <f t="shared" si="26"/>
        <v>0</v>
      </c>
    </row>
    <row r="84" spans="1:20" s="499" customFormat="1" ht="23.25" customHeight="1">
      <c r="A84" s="526" t="s">
        <v>511</v>
      </c>
      <c r="B84" s="527" t="s">
        <v>571</v>
      </c>
      <c r="C84" s="525">
        <v>181</v>
      </c>
      <c r="D84" s="525">
        <v>142</v>
      </c>
      <c r="E84" s="525">
        <v>39</v>
      </c>
      <c r="F84" s="525">
        <v>0</v>
      </c>
      <c r="G84" s="525">
        <v>0</v>
      </c>
      <c r="H84" s="525">
        <v>181</v>
      </c>
      <c r="I84" s="525">
        <v>55</v>
      </c>
      <c r="J84" s="525">
        <v>11</v>
      </c>
      <c r="K84" s="525">
        <v>4</v>
      </c>
      <c r="L84" s="525">
        <v>40</v>
      </c>
      <c r="M84" s="525">
        <v>0</v>
      </c>
      <c r="N84" s="525">
        <v>0</v>
      </c>
      <c r="O84" s="525">
        <v>0</v>
      </c>
      <c r="P84" s="525">
        <v>0</v>
      </c>
      <c r="Q84" s="525">
        <v>126</v>
      </c>
      <c r="R84" s="496">
        <f t="shared" si="27"/>
        <v>166</v>
      </c>
      <c r="S84" s="497">
        <f t="shared" si="25"/>
        <v>27.27272727272727</v>
      </c>
      <c r="T84" s="498">
        <f t="shared" si="26"/>
        <v>0</v>
      </c>
    </row>
    <row r="85" spans="1:20" s="499" customFormat="1" ht="23.25" customHeight="1">
      <c r="A85" s="526" t="s">
        <v>512</v>
      </c>
      <c r="B85" s="527" t="s">
        <v>547</v>
      </c>
      <c r="C85" s="525">
        <v>180</v>
      </c>
      <c r="D85" s="525">
        <v>150</v>
      </c>
      <c r="E85" s="525">
        <v>30</v>
      </c>
      <c r="F85" s="525">
        <v>1</v>
      </c>
      <c r="G85" s="525">
        <v>0</v>
      </c>
      <c r="H85" s="525">
        <v>179</v>
      </c>
      <c r="I85" s="525">
        <v>71</v>
      </c>
      <c r="J85" s="525">
        <v>27</v>
      </c>
      <c r="K85" s="525">
        <v>2</v>
      </c>
      <c r="L85" s="525">
        <v>42</v>
      </c>
      <c r="M85" s="525">
        <v>0</v>
      </c>
      <c r="N85" s="525">
        <v>0</v>
      </c>
      <c r="O85" s="525">
        <v>0</v>
      </c>
      <c r="P85" s="525">
        <v>0</v>
      </c>
      <c r="Q85" s="525">
        <v>108</v>
      </c>
      <c r="R85" s="496">
        <f t="shared" si="27"/>
        <v>150</v>
      </c>
      <c r="S85" s="497">
        <f t="shared" si="25"/>
        <v>40.845070422535215</v>
      </c>
      <c r="T85" s="498">
        <f t="shared" si="26"/>
        <v>0</v>
      </c>
    </row>
    <row r="86" spans="1:20" s="499" customFormat="1" ht="23.25" customHeight="1">
      <c r="A86" s="526" t="s">
        <v>513</v>
      </c>
      <c r="B86" s="527" t="s">
        <v>576</v>
      </c>
      <c r="C86" s="525">
        <v>107</v>
      </c>
      <c r="D86" s="525">
        <v>85</v>
      </c>
      <c r="E86" s="525">
        <v>22</v>
      </c>
      <c r="F86" s="525">
        <v>0</v>
      </c>
      <c r="G86" s="525">
        <v>0</v>
      </c>
      <c r="H86" s="525">
        <v>107</v>
      </c>
      <c r="I86" s="525">
        <v>78</v>
      </c>
      <c r="J86" s="525">
        <v>10</v>
      </c>
      <c r="K86" s="525">
        <v>3</v>
      </c>
      <c r="L86" s="525">
        <v>65</v>
      </c>
      <c r="M86" s="525">
        <v>0</v>
      </c>
      <c r="N86" s="525">
        <v>0</v>
      </c>
      <c r="O86" s="525">
        <v>0</v>
      </c>
      <c r="P86" s="525">
        <v>0</v>
      </c>
      <c r="Q86" s="525">
        <v>29</v>
      </c>
      <c r="R86" s="496">
        <f t="shared" si="27"/>
        <v>94</v>
      </c>
      <c r="S86" s="497">
        <f t="shared" si="25"/>
        <v>16.666666666666664</v>
      </c>
      <c r="T86" s="498">
        <f t="shared" si="26"/>
        <v>0</v>
      </c>
    </row>
    <row r="87" spans="1:20" s="472" customFormat="1" ht="23.25" customHeight="1">
      <c r="A87" s="429">
        <v>11</v>
      </c>
      <c r="B87" s="439" t="s">
        <v>514</v>
      </c>
      <c r="C87" s="485">
        <f aca="true" t="shared" si="28" ref="C87:Q87">SUM(C88:C89)</f>
        <v>92</v>
      </c>
      <c r="D87" s="485">
        <f t="shared" si="28"/>
        <v>56</v>
      </c>
      <c r="E87" s="485">
        <f t="shared" si="28"/>
        <v>36</v>
      </c>
      <c r="F87" s="485">
        <f t="shared" si="28"/>
        <v>0</v>
      </c>
      <c r="G87" s="485">
        <f t="shared" si="28"/>
        <v>0</v>
      </c>
      <c r="H87" s="485">
        <f t="shared" si="28"/>
        <v>92</v>
      </c>
      <c r="I87" s="485">
        <f t="shared" si="28"/>
        <v>55</v>
      </c>
      <c r="J87" s="485">
        <f t="shared" si="28"/>
        <v>31</v>
      </c>
      <c r="K87" s="485">
        <f t="shared" si="28"/>
        <v>1</v>
      </c>
      <c r="L87" s="485">
        <f t="shared" si="28"/>
        <v>20</v>
      </c>
      <c r="M87" s="485">
        <f t="shared" si="28"/>
        <v>0</v>
      </c>
      <c r="N87" s="485">
        <f t="shared" si="28"/>
        <v>0</v>
      </c>
      <c r="O87" s="485">
        <f t="shared" si="28"/>
        <v>0</v>
      </c>
      <c r="P87" s="485">
        <f t="shared" si="28"/>
        <v>3</v>
      </c>
      <c r="Q87" s="485">
        <f t="shared" si="28"/>
        <v>37</v>
      </c>
      <c r="R87" s="492">
        <f t="shared" si="27"/>
        <v>60</v>
      </c>
      <c r="S87" s="428">
        <f t="shared" si="25"/>
        <v>58.18181818181818</v>
      </c>
      <c r="T87" s="471">
        <f t="shared" si="26"/>
        <v>0</v>
      </c>
    </row>
    <row r="88" spans="1:20" s="499" customFormat="1" ht="23.25" customHeight="1">
      <c r="A88" s="511" t="s">
        <v>515</v>
      </c>
      <c r="B88" s="507" t="s">
        <v>516</v>
      </c>
      <c r="C88" s="521">
        <f>D88+E88</f>
        <v>46</v>
      </c>
      <c r="D88" s="521">
        <v>23</v>
      </c>
      <c r="E88" s="521">
        <v>23</v>
      </c>
      <c r="F88" s="521">
        <v>0</v>
      </c>
      <c r="G88" s="521">
        <v>0</v>
      </c>
      <c r="H88" s="521">
        <f>I88+Q88</f>
        <v>46</v>
      </c>
      <c r="I88" s="521">
        <f>J88+K88+L88+M88+N88+O88+P88</f>
        <v>31</v>
      </c>
      <c r="J88" s="521">
        <v>21</v>
      </c>
      <c r="K88" s="521">
        <v>1</v>
      </c>
      <c r="L88" s="521">
        <v>8</v>
      </c>
      <c r="M88" s="521">
        <v>0</v>
      </c>
      <c r="N88" s="521">
        <v>0</v>
      </c>
      <c r="O88" s="521">
        <v>0</v>
      </c>
      <c r="P88" s="522">
        <v>1</v>
      </c>
      <c r="Q88" s="523">
        <v>15</v>
      </c>
      <c r="R88" s="496">
        <f t="shared" si="27"/>
        <v>24</v>
      </c>
      <c r="S88" s="497">
        <f t="shared" si="25"/>
        <v>70.96774193548387</v>
      </c>
      <c r="T88" s="498">
        <f t="shared" si="26"/>
        <v>0</v>
      </c>
    </row>
    <row r="89" spans="1:20" s="499" customFormat="1" ht="23.25" customHeight="1">
      <c r="A89" s="511" t="s">
        <v>517</v>
      </c>
      <c r="B89" s="507" t="s">
        <v>518</v>
      </c>
      <c r="C89" s="521">
        <f>D89+E89</f>
        <v>46</v>
      </c>
      <c r="D89" s="521">
        <v>33</v>
      </c>
      <c r="E89" s="521">
        <v>13</v>
      </c>
      <c r="F89" s="521">
        <v>0</v>
      </c>
      <c r="G89" s="521">
        <v>0</v>
      </c>
      <c r="H89" s="521">
        <f>I89+Q89</f>
        <v>46</v>
      </c>
      <c r="I89" s="521">
        <f>J89+K89+L89+M89+N89+O89+P89</f>
        <v>24</v>
      </c>
      <c r="J89" s="521">
        <v>10</v>
      </c>
      <c r="K89" s="521">
        <v>0</v>
      </c>
      <c r="L89" s="521">
        <v>12</v>
      </c>
      <c r="M89" s="521">
        <v>0</v>
      </c>
      <c r="N89" s="521">
        <v>0</v>
      </c>
      <c r="O89" s="521">
        <v>0</v>
      </c>
      <c r="P89" s="522">
        <v>2</v>
      </c>
      <c r="Q89" s="523">
        <v>22</v>
      </c>
      <c r="R89" s="496">
        <f t="shared" si="27"/>
        <v>36</v>
      </c>
      <c r="S89" s="497">
        <f t="shared" si="25"/>
        <v>41.66666666666667</v>
      </c>
      <c r="T89" s="498">
        <f t="shared" si="26"/>
        <v>0</v>
      </c>
    </row>
    <row r="90" spans="1:20" s="472" customFormat="1" ht="23.25" customHeight="1">
      <c r="A90" s="429">
        <v>12</v>
      </c>
      <c r="B90" s="439" t="s">
        <v>519</v>
      </c>
      <c r="C90" s="489">
        <f>C91+C92+C93</f>
        <v>332</v>
      </c>
      <c r="D90" s="489">
        <f aca="true" t="shared" si="29" ref="D90:Q90">D91+D92+D93</f>
        <v>156</v>
      </c>
      <c r="E90" s="489">
        <f t="shared" si="29"/>
        <v>176</v>
      </c>
      <c r="F90" s="489">
        <f t="shared" si="29"/>
        <v>0</v>
      </c>
      <c r="G90" s="489">
        <f t="shared" si="29"/>
        <v>0</v>
      </c>
      <c r="H90" s="489">
        <f t="shared" si="29"/>
        <v>332</v>
      </c>
      <c r="I90" s="489">
        <f t="shared" si="29"/>
        <v>223</v>
      </c>
      <c r="J90" s="489">
        <f t="shared" si="29"/>
        <v>137</v>
      </c>
      <c r="K90" s="489">
        <f t="shared" si="29"/>
        <v>6</v>
      </c>
      <c r="L90" s="489">
        <f t="shared" si="29"/>
        <v>80</v>
      </c>
      <c r="M90" s="489">
        <f t="shared" si="29"/>
        <v>0</v>
      </c>
      <c r="N90" s="489">
        <f t="shared" si="29"/>
        <v>0</v>
      </c>
      <c r="O90" s="489">
        <f t="shared" si="29"/>
        <v>0</v>
      </c>
      <c r="P90" s="489">
        <f t="shared" si="29"/>
        <v>0</v>
      </c>
      <c r="Q90" s="489">
        <f t="shared" si="29"/>
        <v>109</v>
      </c>
      <c r="R90" s="492">
        <f t="shared" si="27"/>
        <v>189</v>
      </c>
      <c r="S90" s="428">
        <f t="shared" si="25"/>
        <v>64.12556053811659</v>
      </c>
      <c r="T90" s="471">
        <f t="shared" si="26"/>
        <v>0</v>
      </c>
    </row>
    <row r="91" spans="1:20" s="499" customFormat="1" ht="23.25" customHeight="1">
      <c r="A91" s="493">
        <v>12.1</v>
      </c>
      <c r="B91" s="530" t="s">
        <v>542</v>
      </c>
      <c r="C91" s="524">
        <f>D91+E91</f>
        <v>133</v>
      </c>
      <c r="D91" s="524">
        <v>34</v>
      </c>
      <c r="E91" s="524">
        <v>99</v>
      </c>
      <c r="F91" s="524">
        <v>0</v>
      </c>
      <c r="G91" s="524">
        <v>0</v>
      </c>
      <c r="H91" s="524">
        <f>C91-F91-G91</f>
        <v>133</v>
      </c>
      <c r="I91" s="524">
        <f>H91-Q91</f>
        <v>107</v>
      </c>
      <c r="J91" s="524">
        <v>79</v>
      </c>
      <c r="K91" s="524">
        <v>1</v>
      </c>
      <c r="L91" s="524">
        <v>27</v>
      </c>
      <c r="M91" s="524"/>
      <c r="N91" s="524"/>
      <c r="O91" s="524"/>
      <c r="P91" s="524"/>
      <c r="Q91" s="524">
        <v>26</v>
      </c>
      <c r="R91" s="496">
        <f t="shared" si="27"/>
        <v>53</v>
      </c>
      <c r="S91" s="497">
        <f t="shared" si="25"/>
        <v>74.76635514018692</v>
      </c>
      <c r="T91" s="498">
        <f t="shared" si="26"/>
        <v>0</v>
      </c>
    </row>
    <row r="92" spans="1:20" s="499" customFormat="1" ht="23.25" customHeight="1">
      <c r="A92" s="493">
        <v>12.2</v>
      </c>
      <c r="B92" s="530" t="s">
        <v>577</v>
      </c>
      <c r="C92" s="524">
        <f>D92+E92</f>
        <v>144</v>
      </c>
      <c r="D92" s="524">
        <v>96</v>
      </c>
      <c r="E92" s="524">
        <v>48</v>
      </c>
      <c r="F92" s="524">
        <v>0</v>
      </c>
      <c r="G92" s="524">
        <v>0</v>
      </c>
      <c r="H92" s="524">
        <f>C92-F92-G92</f>
        <v>144</v>
      </c>
      <c r="I92" s="524">
        <f>H92-Q92</f>
        <v>83</v>
      </c>
      <c r="J92" s="524">
        <v>41</v>
      </c>
      <c r="K92" s="524">
        <v>5</v>
      </c>
      <c r="L92" s="524">
        <v>37</v>
      </c>
      <c r="M92" s="524">
        <v>0</v>
      </c>
      <c r="N92" s="524"/>
      <c r="O92" s="524"/>
      <c r="P92" s="524"/>
      <c r="Q92" s="524">
        <v>61</v>
      </c>
      <c r="R92" s="496">
        <f t="shared" si="27"/>
        <v>98</v>
      </c>
      <c r="S92" s="497">
        <f t="shared" si="25"/>
        <v>55.42168674698795</v>
      </c>
      <c r="T92" s="498">
        <f t="shared" si="26"/>
        <v>0</v>
      </c>
    </row>
    <row r="93" spans="1:20" s="499" customFormat="1" ht="23.25" customHeight="1">
      <c r="A93" s="493">
        <v>12.3</v>
      </c>
      <c r="B93" s="531" t="s">
        <v>578</v>
      </c>
      <c r="C93" s="524">
        <f>D93+E93</f>
        <v>55</v>
      </c>
      <c r="D93" s="524">
        <v>26</v>
      </c>
      <c r="E93" s="524">
        <v>29</v>
      </c>
      <c r="F93" s="524">
        <v>0</v>
      </c>
      <c r="G93" s="524">
        <v>0</v>
      </c>
      <c r="H93" s="524">
        <f>C93-F93-G93</f>
        <v>55</v>
      </c>
      <c r="I93" s="524">
        <f>H93-Q93</f>
        <v>33</v>
      </c>
      <c r="J93" s="524">
        <v>17</v>
      </c>
      <c r="K93" s="524">
        <v>0</v>
      </c>
      <c r="L93" s="524">
        <v>16</v>
      </c>
      <c r="M93" s="524"/>
      <c r="N93" s="524"/>
      <c r="O93" s="524"/>
      <c r="P93" s="524"/>
      <c r="Q93" s="524">
        <v>22</v>
      </c>
      <c r="R93" s="496">
        <f t="shared" si="27"/>
        <v>38</v>
      </c>
      <c r="S93" s="497">
        <f t="shared" si="25"/>
        <v>51.515151515151516</v>
      </c>
      <c r="T93" s="498">
        <f t="shared" si="26"/>
        <v>0</v>
      </c>
    </row>
    <row r="94" spans="1:20" s="547" customFormat="1" ht="23.25" customHeight="1">
      <c r="A94" s="541">
        <v>13</v>
      </c>
      <c r="B94" s="542" t="s">
        <v>521</v>
      </c>
      <c r="C94" s="548">
        <f>SUM(C95:C105)</f>
        <v>2469</v>
      </c>
      <c r="D94" s="548">
        <f aca="true" t="shared" si="30" ref="D94:Q94">SUM(D95:D105)</f>
        <v>1962</v>
      </c>
      <c r="E94" s="548">
        <f t="shared" si="30"/>
        <v>507</v>
      </c>
      <c r="F94" s="548">
        <f t="shared" si="30"/>
        <v>1</v>
      </c>
      <c r="G94" s="548">
        <f t="shared" si="30"/>
        <v>1</v>
      </c>
      <c r="H94" s="548">
        <f t="shared" si="30"/>
        <v>2468</v>
      </c>
      <c r="I94" s="548">
        <f t="shared" si="30"/>
        <v>1455</v>
      </c>
      <c r="J94" s="548">
        <f t="shared" si="30"/>
        <v>355</v>
      </c>
      <c r="K94" s="548">
        <f t="shared" si="30"/>
        <v>8</v>
      </c>
      <c r="L94" s="548">
        <f t="shared" si="30"/>
        <v>1090</v>
      </c>
      <c r="M94" s="548">
        <f t="shared" si="30"/>
        <v>0</v>
      </c>
      <c r="N94" s="548">
        <f t="shared" si="30"/>
        <v>2</v>
      </c>
      <c r="O94" s="548">
        <f t="shared" si="30"/>
        <v>0</v>
      </c>
      <c r="P94" s="548">
        <f t="shared" si="30"/>
        <v>0</v>
      </c>
      <c r="Q94" s="548">
        <f t="shared" si="30"/>
        <v>1013</v>
      </c>
      <c r="R94" s="544">
        <f t="shared" si="27"/>
        <v>2105</v>
      </c>
      <c r="S94" s="545">
        <f t="shared" si="25"/>
        <v>24.948453608247423</v>
      </c>
      <c r="T94" s="546">
        <f t="shared" si="26"/>
        <v>0</v>
      </c>
    </row>
    <row r="95" spans="1:20" s="499" customFormat="1" ht="23.25" customHeight="1">
      <c r="A95" s="493">
        <v>13.1</v>
      </c>
      <c r="B95" s="532" t="s">
        <v>522</v>
      </c>
      <c r="C95" s="503">
        <f>D95+E95</f>
        <v>125</v>
      </c>
      <c r="D95" s="503">
        <v>23</v>
      </c>
      <c r="E95" s="503">
        <v>102</v>
      </c>
      <c r="F95" s="503">
        <v>0</v>
      </c>
      <c r="G95" s="503">
        <v>0</v>
      </c>
      <c r="H95" s="503">
        <f>I95+Q95</f>
        <v>125</v>
      </c>
      <c r="I95" s="503">
        <f>J95+K95+L95+M95+N95+O95+P95</f>
        <v>124</v>
      </c>
      <c r="J95" s="503">
        <v>62</v>
      </c>
      <c r="K95" s="503">
        <v>0</v>
      </c>
      <c r="L95" s="503">
        <v>62</v>
      </c>
      <c r="M95" s="503">
        <v>0</v>
      </c>
      <c r="N95" s="503">
        <v>0</v>
      </c>
      <c r="O95" s="503">
        <v>0</v>
      </c>
      <c r="P95" s="503">
        <v>0</v>
      </c>
      <c r="Q95" s="505">
        <v>1</v>
      </c>
      <c r="R95" s="496">
        <f t="shared" si="27"/>
        <v>63</v>
      </c>
      <c r="S95" s="497">
        <f t="shared" si="25"/>
        <v>50</v>
      </c>
      <c r="T95" s="498">
        <f t="shared" si="26"/>
        <v>0</v>
      </c>
    </row>
    <row r="96" spans="1:20" s="499" customFormat="1" ht="23.25" customHeight="1">
      <c r="A96" s="493">
        <v>13.2</v>
      </c>
      <c r="B96" s="532" t="s">
        <v>523</v>
      </c>
      <c r="C96" s="503">
        <f aca="true" t="shared" si="31" ref="C96:C105">D96+E96</f>
        <v>229</v>
      </c>
      <c r="D96" s="503">
        <v>203</v>
      </c>
      <c r="E96" s="503">
        <v>26</v>
      </c>
      <c r="F96" s="503">
        <v>0</v>
      </c>
      <c r="G96" s="503">
        <v>0</v>
      </c>
      <c r="H96" s="503">
        <f aca="true" t="shared" si="32" ref="H96:H105">I96+Q96</f>
        <v>229</v>
      </c>
      <c r="I96" s="503">
        <f aca="true" t="shared" si="33" ref="I96:I105">J96+K96+L96+M96+N96+O96+P96</f>
        <v>138</v>
      </c>
      <c r="J96" s="503">
        <v>23</v>
      </c>
      <c r="K96" s="503">
        <v>1</v>
      </c>
      <c r="L96" s="503">
        <v>114</v>
      </c>
      <c r="M96" s="503">
        <v>0</v>
      </c>
      <c r="N96" s="503">
        <v>0</v>
      </c>
      <c r="O96" s="503">
        <v>0</v>
      </c>
      <c r="P96" s="503">
        <v>0</v>
      </c>
      <c r="Q96" s="505">
        <v>91</v>
      </c>
      <c r="R96" s="496">
        <f t="shared" si="27"/>
        <v>205</v>
      </c>
      <c r="S96" s="497">
        <f t="shared" si="25"/>
        <v>17.391304347826086</v>
      </c>
      <c r="T96" s="498">
        <f t="shared" si="26"/>
        <v>0</v>
      </c>
    </row>
    <row r="97" spans="1:20" s="499" customFormat="1" ht="23.25" customHeight="1">
      <c r="A97" s="493">
        <v>13.3</v>
      </c>
      <c r="B97" s="532" t="s">
        <v>550</v>
      </c>
      <c r="C97" s="503">
        <f t="shared" si="31"/>
        <v>367</v>
      </c>
      <c r="D97" s="503">
        <v>287</v>
      </c>
      <c r="E97" s="503">
        <v>80</v>
      </c>
      <c r="F97" s="503">
        <v>0</v>
      </c>
      <c r="G97" s="503">
        <v>0</v>
      </c>
      <c r="H97" s="503">
        <f t="shared" si="32"/>
        <v>367</v>
      </c>
      <c r="I97" s="503">
        <f t="shared" si="33"/>
        <v>172</v>
      </c>
      <c r="J97" s="503">
        <v>44</v>
      </c>
      <c r="K97" s="503">
        <v>1</v>
      </c>
      <c r="L97" s="503">
        <v>127</v>
      </c>
      <c r="M97" s="503">
        <v>0</v>
      </c>
      <c r="N97" s="503">
        <v>0</v>
      </c>
      <c r="O97" s="503">
        <v>0</v>
      </c>
      <c r="P97" s="503">
        <v>0</v>
      </c>
      <c r="Q97" s="505">
        <v>195</v>
      </c>
      <c r="R97" s="496">
        <f t="shared" si="27"/>
        <v>322</v>
      </c>
      <c r="S97" s="497">
        <f t="shared" si="25"/>
        <v>26.16279069767442</v>
      </c>
      <c r="T97" s="498">
        <f t="shared" si="26"/>
        <v>0</v>
      </c>
    </row>
    <row r="98" spans="1:20" s="499" customFormat="1" ht="23.25" customHeight="1">
      <c r="A98" s="493">
        <v>13.4</v>
      </c>
      <c r="B98" s="533" t="s">
        <v>551</v>
      </c>
      <c r="C98" s="503">
        <f t="shared" si="31"/>
        <v>320</v>
      </c>
      <c r="D98" s="503">
        <v>275</v>
      </c>
      <c r="E98" s="503">
        <v>45</v>
      </c>
      <c r="F98" s="503">
        <v>0</v>
      </c>
      <c r="G98" s="503">
        <v>0</v>
      </c>
      <c r="H98" s="503">
        <f>I98+Q98</f>
        <v>320</v>
      </c>
      <c r="I98" s="503">
        <f t="shared" si="33"/>
        <v>186</v>
      </c>
      <c r="J98" s="503">
        <v>42</v>
      </c>
      <c r="K98" s="503">
        <v>0</v>
      </c>
      <c r="L98" s="503">
        <v>144</v>
      </c>
      <c r="M98" s="503">
        <v>0</v>
      </c>
      <c r="N98" s="503">
        <v>0</v>
      </c>
      <c r="O98" s="503">
        <v>0</v>
      </c>
      <c r="P98" s="503">
        <v>0</v>
      </c>
      <c r="Q98" s="505">
        <v>134</v>
      </c>
      <c r="R98" s="496">
        <f t="shared" si="27"/>
        <v>278</v>
      </c>
      <c r="S98" s="497">
        <f t="shared" si="25"/>
        <v>22.58064516129032</v>
      </c>
      <c r="T98" s="498">
        <f t="shared" si="26"/>
        <v>0</v>
      </c>
    </row>
    <row r="99" spans="1:20" s="499" customFormat="1" ht="23.25" customHeight="1">
      <c r="A99" s="493">
        <v>13.5</v>
      </c>
      <c r="B99" s="534" t="s">
        <v>552</v>
      </c>
      <c r="C99" s="503">
        <f t="shared" si="31"/>
        <v>166</v>
      </c>
      <c r="D99" s="503">
        <v>133</v>
      </c>
      <c r="E99" s="503">
        <v>33</v>
      </c>
      <c r="F99" s="503">
        <v>0</v>
      </c>
      <c r="G99" s="503">
        <v>1</v>
      </c>
      <c r="H99" s="503">
        <f t="shared" si="32"/>
        <v>166</v>
      </c>
      <c r="I99" s="503">
        <f t="shared" si="33"/>
        <v>90</v>
      </c>
      <c r="J99" s="503">
        <v>22</v>
      </c>
      <c r="K99" s="503">
        <v>0</v>
      </c>
      <c r="L99" s="503">
        <v>66</v>
      </c>
      <c r="M99" s="503">
        <v>0</v>
      </c>
      <c r="N99" s="503">
        <v>2</v>
      </c>
      <c r="O99" s="503">
        <v>0</v>
      </c>
      <c r="P99" s="503">
        <v>0</v>
      </c>
      <c r="Q99" s="505">
        <v>76</v>
      </c>
      <c r="R99" s="496">
        <f t="shared" si="27"/>
        <v>144</v>
      </c>
      <c r="S99" s="497">
        <f t="shared" si="25"/>
        <v>24.444444444444443</v>
      </c>
      <c r="T99" s="498">
        <f t="shared" si="26"/>
        <v>0</v>
      </c>
    </row>
    <row r="100" spans="1:20" s="499" customFormat="1" ht="23.25" customHeight="1">
      <c r="A100" s="493">
        <v>13.6</v>
      </c>
      <c r="B100" s="534" t="s">
        <v>553</v>
      </c>
      <c r="C100" s="503">
        <f t="shared" si="31"/>
        <v>256</v>
      </c>
      <c r="D100" s="503">
        <v>219</v>
      </c>
      <c r="E100" s="503">
        <v>37</v>
      </c>
      <c r="F100" s="503">
        <v>0</v>
      </c>
      <c r="G100" s="503">
        <v>0</v>
      </c>
      <c r="H100" s="503">
        <f t="shared" si="32"/>
        <v>256</v>
      </c>
      <c r="I100" s="503">
        <f t="shared" si="33"/>
        <v>139</v>
      </c>
      <c r="J100" s="503">
        <v>27</v>
      </c>
      <c r="K100" s="503">
        <v>3</v>
      </c>
      <c r="L100" s="503">
        <v>109</v>
      </c>
      <c r="M100" s="503">
        <v>0</v>
      </c>
      <c r="N100" s="503">
        <v>0</v>
      </c>
      <c r="O100" s="503">
        <v>0</v>
      </c>
      <c r="P100" s="503">
        <v>0</v>
      </c>
      <c r="Q100" s="505">
        <v>117</v>
      </c>
      <c r="R100" s="496">
        <f t="shared" si="27"/>
        <v>226</v>
      </c>
      <c r="S100" s="497">
        <f t="shared" si="25"/>
        <v>21.58273381294964</v>
      </c>
      <c r="T100" s="498">
        <f t="shared" si="26"/>
        <v>0</v>
      </c>
    </row>
    <row r="101" spans="1:20" s="499" customFormat="1" ht="23.25" customHeight="1">
      <c r="A101" s="493">
        <v>13.7</v>
      </c>
      <c r="B101" s="534" t="s">
        <v>554</v>
      </c>
      <c r="C101" s="503">
        <f t="shared" si="31"/>
        <v>234</v>
      </c>
      <c r="D101" s="503">
        <v>192</v>
      </c>
      <c r="E101" s="503">
        <v>42</v>
      </c>
      <c r="F101" s="503">
        <v>0</v>
      </c>
      <c r="G101" s="503">
        <v>0</v>
      </c>
      <c r="H101" s="503">
        <f t="shared" si="32"/>
        <v>234</v>
      </c>
      <c r="I101" s="503">
        <f>J101+K101+L101+M101+N101+O101+P101</f>
        <v>125</v>
      </c>
      <c r="J101" s="503">
        <v>32</v>
      </c>
      <c r="K101" s="503">
        <v>0</v>
      </c>
      <c r="L101" s="503">
        <v>93</v>
      </c>
      <c r="M101" s="503">
        <v>0</v>
      </c>
      <c r="N101" s="503">
        <v>0</v>
      </c>
      <c r="O101" s="503">
        <v>0</v>
      </c>
      <c r="P101" s="503">
        <v>0</v>
      </c>
      <c r="Q101" s="505">
        <v>109</v>
      </c>
      <c r="R101" s="496">
        <f t="shared" si="27"/>
        <v>202</v>
      </c>
      <c r="S101" s="497">
        <f t="shared" si="25"/>
        <v>25.6</v>
      </c>
      <c r="T101" s="498">
        <f t="shared" si="26"/>
        <v>0</v>
      </c>
    </row>
    <row r="102" spans="1:20" s="499" customFormat="1" ht="23.25" customHeight="1">
      <c r="A102" s="493">
        <v>13.8</v>
      </c>
      <c r="B102" s="532" t="s">
        <v>555</v>
      </c>
      <c r="C102" s="503">
        <f t="shared" si="31"/>
        <v>215</v>
      </c>
      <c r="D102" s="503">
        <v>164</v>
      </c>
      <c r="E102" s="503">
        <v>51</v>
      </c>
      <c r="F102" s="503">
        <v>0</v>
      </c>
      <c r="G102" s="503">
        <v>0</v>
      </c>
      <c r="H102" s="503">
        <f t="shared" si="32"/>
        <v>215</v>
      </c>
      <c r="I102" s="503">
        <f t="shared" si="33"/>
        <v>134</v>
      </c>
      <c r="J102" s="503">
        <v>40</v>
      </c>
      <c r="K102" s="503">
        <v>0</v>
      </c>
      <c r="L102" s="503">
        <v>94</v>
      </c>
      <c r="M102" s="503">
        <v>0</v>
      </c>
      <c r="N102" s="503">
        <v>0</v>
      </c>
      <c r="O102" s="503">
        <v>0</v>
      </c>
      <c r="P102" s="503">
        <v>0</v>
      </c>
      <c r="Q102" s="505">
        <v>81</v>
      </c>
      <c r="R102" s="496">
        <f t="shared" si="27"/>
        <v>175</v>
      </c>
      <c r="S102" s="497">
        <f t="shared" si="25"/>
        <v>29.850746268656714</v>
      </c>
      <c r="T102" s="498">
        <f t="shared" si="26"/>
        <v>0</v>
      </c>
    </row>
    <row r="103" spans="1:20" s="499" customFormat="1" ht="23.25" customHeight="1">
      <c r="A103" s="493">
        <v>13.9</v>
      </c>
      <c r="B103" s="532" t="s">
        <v>556</v>
      </c>
      <c r="C103" s="503">
        <f t="shared" si="31"/>
        <v>192</v>
      </c>
      <c r="D103" s="503">
        <v>151</v>
      </c>
      <c r="E103" s="503">
        <v>41</v>
      </c>
      <c r="F103" s="503">
        <v>1</v>
      </c>
      <c r="G103" s="503">
        <v>0</v>
      </c>
      <c r="H103" s="503">
        <f t="shared" si="32"/>
        <v>191</v>
      </c>
      <c r="I103" s="503">
        <f t="shared" si="33"/>
        <v>110</v>
      </c>
      <c r="J103" s="503">
        <v>25</v>
      </c>
      <c r="K103" s="503">
        <v>1</v>
      </c>
      <c r="L103" s="503">
        <v>84</v>
      </c>
      <c r="M103" s="503">
        <v>0</v>
      </c>
      <c r="N103" s="503">
        <v>0</v>
      </c>
      <c r="O103" s="503">
        <v>0</v>
      </c>
      <c r="P103" s="503">
        <v>0</v>
      </c>
      <c r="Q103" s="505">
        <v>81</v>
      </c>
      <c r="R103" s="496">
        <f t="shared" si="27"/>
        <v>165</v>
      </c>
      <c r="S103" s="497">
        <f t="shared" si="25"/>
        <v>23.636363636363637</v>
      </c>
      <c r="T103" s="498">
        <f t="shared" si="26"/>
        <v>0</v>
      </c>
    </row>
    <row r="104" spans="1:20" s="499" customFormat="1" ht="23.25" customHeight="1">
      <c r="A104" s="493" t="s">
        <v>557</v>
      </c>
      <c r="B104" s="532" t="s">
        <v>558</v>
      </c>
      <c r="C104" s="503">
        <f t="shared" si="31"/>
        <v>242</v>
      </c>
      <c r="D104" s="503">
        <v>211</v>
      </c>
      <c r="E104" s="503">
        <v>31</v>
      </c>
      <c r="F104" s="503">
        <v>0</v>
      </c>
      <c r="G104" s="503">
        <v>0</v>
      </c>
      <c r="H104" s="503">
        <f t="shared" si="32"/>
        <v>242</v>
      </c>
      <c r="I104" s="503">
        <f t="shared" si="33"/>
        <v>158</v>
      </c>
      <c r="J104" s="503">
        <v>24</v>
      </c>
      <c r="K104" s="503">
        <v>0</v>
      </c>
      <c r="L104" s="503">
        <v>134</v>
      </c>
      <c r="M104" s="503">
        <v>0</v>
      </c>
      <c r="N104" s="503">
        <v>0</v>
      </c>
      <c r="O104" s="503">
        <v>0</v>
      </c>
      <c r="P104" s="503">
        <v>0</v>
      </c>
      <c r="Q104" s="505">
        <v>84</v>
      </c>
      <c r="R104" s="496">
        <f t="shared" si="27"/>
        <v>218</v>
      </c>
      <c r="S104" s="497">
        <f t="shared" si="25"/>
        <v>15.18987341772152</v>
      </c>
      <c r="T104" s="498">
        <f t="shared" si="26"/>
        <v>0</v>
      </c>
    </row>
    <row r="105" spans="1:20" s="499" customFormat="1" ht="23.25" customHeight="1">
      <c r="A105" s="493" t="s">
        <v>559</v>
      </c>
      <c r="B105" s="532" t="s">
        <v>463</v>
      </c>
      <c r="C105" s="503">
        <f t="shared" si="31"/>
        <v>123</v>
      </c>
      <c r="D105" s="503">
        <v>104</v>
      </c>
      <c r="E105" s="503">
        <v>19</v>
      </c>
      <c r="F105" s="503">
        <v>0</v>
      </c>
      <c r="G105" s="503">
        <v>0</v>
      </c>
      <c r="H105" s="503">
        <f t="shared" si="32"/>
        <v>123</v>
      </c>
      <c r="I105" s="503">
        <f t="shared" si="33"/>
        <v>79</v>
      </c>
      <c r="J105" s="503">
        <v>14</v>
      </c>
      <c r="K105" s="503">
        <v>2</v>
      </c>
      <c r="L105" s="503">
        <v>63</v>
      </c>
      <c r="M105" s="503">
        <v>0</v>
      </c>
      <c r="N105" s="503">
        <v>0</v>
      </c>
      <c r="O105" s="503">
        <v>0</v>
      </c>
      <c r="P105" s="503">
        <v>0</v>
      </c>
      <c r="Q105" s="505">
        <v>44</v>
      </c>
      <c r="R105" s="496">
        <f t="shared" si="27"/>
        <v>107</v>
      </c>
      <c r="S105" s="497">
        <f t="shared" si="25"/>
        <v>20.253164556962027</v>
      </c>
      <c r="T105" s="498">
        <f t="shared" si="26"/>
        <v>0</v>
      </c>
    </row>
    <row r="106" spans="1:20" s="547" customFormat="1" ht="23.25" customHeight="1">
      <c r="A106" s="541">
        <v>14</v>
      </c>
      <c r="B106" s="542" t="s">
        <v>524</v>
      </c>
      <c r="C106" s="543">
        <f>C107+C108</f>
        <v>405</v>
      </c>
      <c r="D106" s="543">
        <f aca="true" t="shared" si="34" ref="D106:Q106">D107+D108</f>
        <v>164</v>
      </c>
      <c r="E106" s="543">
        <f t="shared" si="34"/>
        <v>241</v>
      </c>
      <c r="F106" s="543">
        <f t="shared" si="34"/>
        <v>6</v>
      </c>
      <c r="G106" s="543">
        <f t="shared" si="34"/>
        <v>0</v>
      </c>
      <c r="H106" s="543">
        <f t="shared" si="34"/>
        <v>399</v>
      </c>
      <c r="I106" s="543">
        <f t="shared" si="34"/>
        <v>296</v>
      </c>
      <c r="J106" s="543">
        <f t="shared" si="34"/>
        <v>163</v>
      </c>
      <c r="K106" s="543">
        <f t="shared" si="34"/>
        <v>1</v>
      </c>
      <c r="L106" s="543">
        <f t="shared" si="34"/>
        <v>132</v>
      </c>
      <c r="M106" s="543">
        <f t="shared" si="34"/>
        <v>0</v>
      </c>
      <c r="N106" s="543">
        <f t="shared" si="34"/>
        <v>0</v>
      </c>
      <c r="O106" s="543">
        <f t="shared" si="34"/>
        <v>0</v>
      </c>
      <c r="P106" s="543">
        <f t="shared" si="34"/>
        <v>0</v>
      </c>
      <c r="Q106" s="543">
        <f t="shared" si="34"/>
        <v>103</v>
      </c>
      <c r="R106" s="544">
        <f t="shared" si="27"/>
        <v>235</v>
      </c>
      <c r="S106" s="545">
        <f t="shared" si="25"/>
        <v>55.4054054054054</v>
      </c>
      <c r="T106" s="546">
        <f t="shared" si="26"/>
        <v>0</v>
      </c>
    </row>
    <row r="107" spans="1:20" s="499" customFormat="1" ht="23.25" customHeight="1">
      <c r="A107" s="511" t="s">
        <v>525</v>
      </c>
      <c r="B107" s="507" t="s">
        <v>526</v>
      </c>
      <c r="C107" s="503">
        <f>D107+E107</f>
        <v>152</v>
      </c>
      <c r="D107" s="535" t="s">
        <v>579</v>
      </c>
      <c r="E107" s="535" t="s">
        <v>584</v>
      </c>
      <c r="F107" s="535" t="s">
        <v>47</v>
      </c>
      <c r="G107" s="535" t="s">
        <v>434</v>
      </c>
      <c r="H107" s="536">
        <f aca="true" t="shared" si="35" ref="H107:H113">I107+Q107</f>
        <v>149</v>
      </c>
      <c r="I107" s="536">
        <f>P107+O107+N107+M107+L107+K107+J107</f>
        <v>102</v>
      </c>
      <c r="J107" s="535" t="s">
        <v>585</v>
      </c>
      <c r="K107" s="535" t="s">
        <v>43</v>
      </c>
      <c r="L107" s="535" t="s">
        <v>586</v>
      </c>
      <c r="M107" s="535" t="s">
        <v>434</v>
      </c>
      <c r="N107" s="535" t="s">
        <v>434</v>
      </c>
      <c r="O107" s="537" t="s">
        <v>434</v>
      </c>
      <c r="P107" s="538" t="s">
        <v>434</v>
      </c>
      <c r="Q107" s="505">
        <v>47</v>
      </c>
      <c r="R107" s="496">
        <f t="shared" si="27"/>
        <v>47</v>
      </c>
      <c r="S107" s="497">
        <f t="shared" si="25"/>
        <v>48.03921568627451</v>
      </c>
      <c r="T107" s="498">
        <f t="shared" si="26"/>
        <v>0</v>
      </c>
    </row>
    <row r="108" spans="1:20" s="499" customFormat="1" ht="23.25" customHeight="1">
      <c r="A108" s="511" t="s">
        <v>527</v>
      </c>
      <c r="B108" s="507" t="s">
        <v>528</v>
      </c>
      <c r="C108" s="503">
        <f>D108+E108</f>
        <v>253</v>
      </c>
      <c r="D108" s="535" t="s">
        <v>581</v>
      </c>
      <c r="E108" s="535" t="s">
        <v>587</v>
      </c>
      <c r="F108" s="535" t="s">
        <v>47</v>
      </c>
      <c r="G108" s="535" t="s">
        <v>434</v>
      </c>
      <c r="H108" s="536">
        <f t="shared" si="35"/>
        <v>250</v>
      </c>
      <c r="I108" s="536">
        <f>P108+O108+N108+M108+L108+K108+J108</f>
        <v>194</v>
      </c>
      <c r="J108" s="535" t="s">
        <v>588</v>
      </c>
      <c r="K108" s="535" t="s">
        <v>434</v>
      </c>
      <c r="L108" s="535" t="s">
        <v>580</v>
      </c>
      <c r="M108" s="535" t="s">
        <v>434</v>
      </c>
      <c r="N108" s="535" t="s">
        <v>434</v>
      </c>
      <c r="O108" s="537" t="s">
        <v>434</v>
      </c>
      <c r="P108" s="538" t="s">
        <v>434</v>
      </c>
      <c r="Q108" s="505">
        <v>56</v>
      </c>
      <c r="R108" s="496">
        <f t="shared" si="27"/>
        <v>56</v>
      </c>
      <c r="S108" s="497">
        <f t="shared" si="25"/>
        <v>59.27835051546392</v>
      </c>
      <c r="T108" s="498">
        <f t="shared" si="26"/>
        <v>0</v>
      </c>
    </row>
    <row r="109" spans="1:20" s="547" customFormat="1" ht="23.25" customHeight="1">
      <c r="A109" s="541">
        <v>15</v>
      </c>
      <c r="B109" s="542" t="s">
        <v>529</v>
      </c>
      <c r="C109" s="548">
        <f>C110+C111+C112+C113</f>
        <v>231</v>
      </c>
      <c r="D109" s="548">
        <f>D110+D111+D112+D113</f>
        <v>150</v>
      </c>
      <c r="E109" s="548">
        <f aca="true" t="shared" si="36" ref="E109:Q109">E110+E111+E112+E113</f>
        <v>81</v>
      </c>
      <c r="F109" s="548">
        <f t="shared" si="36"/>
        <v>1</v>
      </c>
      <c r="G109" s="548">
        <f t="shared" si="36"/>
        <v>0</v>
      </c>
      <c r="H109" s="548">
        <f t="shared" si="36"/>
        <v>230</v>
      </c>
      <c r="I109" s="548">
        <f t="shared" si="36"/>
        <v>139</v>
      </c>
      <c r="J109" s="548">
        <f t="shared" si="36"/>
        <v>56</v>
      </c>
      <c r="K109" s="548">
        <f t="shared" si="36"/>
        <v>0</v>
      </c>
      <c r="L109" s="548">
        <f t="shared" si="36"/>
        <v>80</v>
      </c>
      <c r="M109" s="548">
        <f t="shared" si="36"/>
        <v>2</v>
      </c>
      <c r="N109" s="548">
        <f t="shared" si="36"/>
        <v>0</v>
      </c>
      <c r="O109" s="548">
        <f t="shared" si="36"/>
        <v>0</v>
      </c>
      <c r="P109" s="548">
        <f t="shared" si="36"/>
        <v>1</v>
      </c>
      <c r="Q109" s="548">
        <f t="shared" si="36"/>
        <v>91</v>
      </c>
      <c r="R109" s="544">
        <f t="shared" si="27"/>
        <v>174</v>
      </c>
      <c r="S109" s="545">
        <f t="shared" si="25"/>
        <v>40.28776978417266</v>
      </c>
      <c r="T109" s="546">
        <f t="shared" si="26"/>
        <v>0</v>
      </c>
    </row>
    <row r="110" spans="1:20" s="499" customFormat="1" ht="23.25" customHeight="1">
      <c r="A110" s="500">
        <v>15.1</v>
      </c>
      <c r="B110" s="516" t="s">
        <v>530</v>
      </c>
      <c r="C110" s="501">
        <f>D110+E110</f>
        <v>32</v>
      </c>
      <c r="D110" s="501">
        <v>15</v>
      </c>
      <c r="E110" s="501">
        <f>17</f>
        <v>17</v>
      </c>
      <c r="F110" s="501">
        <v>0</v>
      </c>
      <c r="G110" s="501">
        <v>0</v>
      </c>
      <c r="H110" s="501">
        <f t="shared" si="35"/>
        <v>32</v>
      </c>
      <c r="I110" s="501">
        <f>J110+K110+L110+M110+N110+O110+P110</f>
        <v>30</v>
      </c>
      <c r="J110" s="501">
        <f>16</f>
        <v>16</v>
      </c>
      <c r="K110" s="501">
        <v>0</v>
      </c>
      <c r="L110" s="501">
        <f>C110-F110-J110-K110-M110-N110-O110-P110-Q110</f>
        <v>14</v>
      </c>
      <c r="M110" s="501">
        <v>0</v>
      </c>
      <c r="N110" s="501">
        <v>0</v>
      </c>
      <c r="O110" s="501">
        <v>0</v>
      </c>
      <c r="P110" s="501">
        <v>0</v>
      </c>
      <c r="Q110" s="539">
        <v>2</v>
      </c>
      <c r="R110" s="496">
        <f t="shared" si="27"/>
        <v>16</v>
      </c>
      <c r="S110" s="497">
        <f t="shared" si="25"/>
        <v>53.333333333333336</v>
      </c>
      <c r="T110" s="498">
        <f t="shared" si="26"/>
        <v>0</v>
      </c>
    </row>
    <row r="111" spans="1:20" s="499" customFormat="1" ht="23.25" customHeight="1">
      <c r="A111" s="500">
        <v>15.2</v>
      </c>
      <c r="B111" s="516" t="s">
        <v>560</v>
      </c>
      <c r="C111" s="501">
        <f>D111+E111</f>
        <v>79</v>
      </c>
      <c r="D111" s="501">
        <v>58</v>
      </c>
      <c r="E111" s="501">
        <f>21</f>
        <v>21</v>
      </c>
      <c r="F111" s="501">
        <v>0</v>
      </c>
      <c r="G111" s="501">
        <v>0</v>
      </c>
      <c r="H111" s="501">
        <f t="shared" si="35"/>
        <v>79</v>
      </c>
      <c r="I111" s="501">
        <f>J111+K111+L111+M111+N111+O111+P111</f>
        <v>40</v>
      </c>
      <c r="J111" s="501">
        <v>14</v>
      </c>
      <c r="K111" s="501">
        <v>0</v>
      </c>
      <c r="L111" s="501">
        <f>C111-F111-J111-K111-M111-N111-O111-P111-Q111</f>
        <v>26</v>
      </c>
      <c r="M111" s="501">
        <v>0</v>
      </c>
      <c r="N111" s="501">
        <v>0</v>
      </c>
      <c r="O111" s="501" t="s">
        <v>434</v>
      </c>
      <c r="P111" s="501" t="s">
        <v>434</v>
      </c>
      <c r="Q111" s="539">
        <v>39</v>
      </c>
      <c r="R111" s="496">
        <f t="shared" si="27"/>
        <v>65</v>
      </c>
      <c r="S111" s="497">
        <f t="shared" si="25"/>
        <v>35</v>
      </c>
      <c r="T111" s="498">
        <f t="shared" si="26"/>
        <v>0</v>
      </c>
    </row>
    <row r="112" spans="1:20" s="499" customFormat="1" ht="23.25" customHeight="1">
      <c r="A112" s="500">
        <v>15.3</v>
      </c>
      <c r="B112" s="516" t="s">
        <v>562</v>
      </c>
      <c r="C112" s="501">
        <f>D112+E112</f>
        <v>56</v>
      </c>
      <c r="D112" s="501">
        <v>38</v>
      </c>
      <c r="E112" s="501">
        <f>18</f>
        <v>18</v>
      </c>
      <c r="F112" s="501">
        <f>1</f>
        <v>1</v>
      </c>
      <c r="G112" s="501">
        <v>0</v>
      </c>
      <c r="H112" s="501">
        <f t="shared" si="35"/>
        <v>55</v>
      </c>
      <c r="I112" s="501">
        <f>J112+K112+L112+M112+N112+O112+P112</f>
        <v>29</v>
      </c>
      <c r="J112" s="501">
        <v>9</v>
      </c>
      <c r="K112" s="501">
        <v>0</v>
      </c>
      <c r="L112" s="501">
        <f>C112-F112-J112-K112-M112-N112-O112-P112-Q112</f>
        <v>17</v>
      </c>
      <c r="M112" s="501">
        <v>2</v>
      </c>
      <c r="N112" s="501">
        <v>0</v>
      </c>
      <c r="O112" s="501">
        <v>0</v>
      </c>
      <c r="P112" s="501">
        <v>1</v>
      </c>
      <c r="Q112" s="539">
        <v>26</v>
      </c>
      <c r="R112" s="496">
        <f t="shared" si="27"/>
        <v>46</v>
      </c>
      <c r="S112" s="497">
        <f t="shared" si="25"/>
        <v>31.03448275862069</v>
      </c>
      <c r="T112" s="498">
        <f t="shared" si="26"/>
        <v>0</v>
      </c>
    </row>
    <row r="113" spans="1:20" s="540" customFormat="1" ht="23.25" customHeight="1">
      <c r="A113" s="500">
        <v>15.4</v>
      </c>
      <c r="B113" s="516" t="s">
        <v>561</v>
      </c>
      <c r="C113" s="501">
        <f>D113+E113</f>
        <v>64</v>
      </c>
      <c r="D113" s="501">
        <v>39</v>
      </c>
      <c r="E113" s="501">
        <f>25</f>
        <v>25</v>
      </c>
      <c r="F113" s="501">
        <v>0</v>
      </c>
      <c r="G113" s="501">
        <v>0</v>
      </c>
      <c r="H113" s="501">
        <f t="shared" si="35"/>
        <v>64</v>
      </c>
      <c r="I113" s="501">
        <f>J113+K113+L113+M113+N113+O113+P113</f>
        <v>40</v>
      </c>
      <c r="J113" s="501">
        <f>17</f>
        <v>17</v>
      </c>
      <c r="K113" s="501">
        <v>0</v>
      </c>
      <c r="L113" s="501">
        <f>C113-F113-J113-K113-M113-N113-O113-P113-Q113</f>
        <v>23</v>
      </c>
      <c r="M113" s="501">
        <v>0</v>
      </c>
      <c r="N113" s="501">
        <v>0</v>
      </c>
      <c r="O113" s="501" t="s">
        <v>434</v>
      </c>
      <c r="P113" s="501" t="s">
        <v>434</v>
      </c>
      <c r="Q113" s="539">
        <v>24</v>
      </c>
      <c r="R113" s="496">
        <f t="shared" si="27"/>
        <v>47</v>
      </c>
      <c r="S113" s="497">
        <f t="shared" si="25"/>
        <v>42.5</v>
      </c>
      <c r="T113" s="498">
        <f t="shared" si="26"/>
        <v>0</v>
      </c>
    </row>
    <row r="114" spans="1:19" ht="18.75">
      <c r="A114" s="383"/>
      <c r="B114" s="943" t="s">
        <v>420</v>
      </c>
      <c r="C114" s="943"/>
      <c r="D114" s="418"/>
      <c r="E114" s="418"/>
      <c r="F114" s="419"/>
      <c r="G114" s="419"/>
      <c r="H114" s="420"/>
      <c r="I114" s="420"/>
      <c r="J114" s="419"/>
      <c r="K114" s="419"/>
      <c r="L114" s="419"/>
      <c r="M114" s="419"/>
      <c r="N114" s="942" t="s">
        <v>563</v>
      </c>
      <c r="O114" s="942"/>
      <c r="P114" s="942"/>
      <c r="Q114" s="942"/>
      <c r="R114" s="942"/>
      <c r="S114" s="942"/>
    </row>
    <row r="115" spans="1:19" ht="25.5" customHeight="1">
      <c r="A115" s="389"/>
      <c r="B115" s="383"/>
      <c r="C115" s="421"/>
      <c r="D115" s="419"/>
      <c r="E115" s="419"/>
      <c r="F115" s="419"/>
      <c r="G115" s="419"/>
      <c r="H115" s="420"/>
      <c r="I115" s="420"/>
      <c r="J115" s="419"/>
      <c r="K115" s="419"/>
      <c r="L115" s="419"/>
      <c r="M115" s="419"/>
      <c r="N115" s="920" t="s">
        <v>564</v>
      </c>
      <c r="O115" s="920"/>
      <c r="P115" s="920"/>
      <c r="Q115" s="920"/>
      <c r="R115" s="920"/>
      <c r="S115" s="920"/>
    </row>
    <row r="116" spans="1:19" ht="15.75" customHeight="1">
      <c r="A116" s="383"/>
      <c r="B116" s="918"/>
      <c r="C116" s="918"/>
      <c r="D116" s="918"/>
      <c r="E116" s="918"/>
      <c r="F116" s="918"/>
      <c r="G116" s="918"/>
      <c r="H116" s="918"/>
      <c r="I116" s="918"/>
      <c r="J116" s="918"/>
      <c r="K116" s="918"/>
      <c r="L116" s="918"/>
      <c r="M116" s="918"/>
      <c r="N116" s="918"/>
      <c r="O116" s="918"/>
      <c r="P116" s="419"/>
      <c r="Q116" s="420"/>
      <c r="R116" s="421"/>
      <c r="S116" s="422"/>
    </row>
    <row r="117" spans="1:19" ht="18.75">
      <c r="A117" s="390"/>
      <c r="B117" s="390"/>
      <c r="C117" s="423"/>
      <c r="D117" s="424"/>
      <c r="E117" s="424"/>
      <c r="F117" s="424"/>
      <c r="G117" s="424"/>
      <c r="H117" s="423"/>
      <c r="I117" s="423"/>
      <c r="J117" s="424"/>
      <c r="K117" s="424"/>
      <c r="L117" s="424"/>
      <c r="M117" s="424"/>
      <c r="N117" s="424"/>
      <c r="O117" s="424"/>
      <c r="P117" s="424"/>
      <c r="Q117" s="421"/>
      <c r="R117" s="421"/>
      <c r="S117" s="422"/>
    </row>
    <row r="118" spans="1:19" ht="18.75">
      <c r="A118" s="383"/>
      <c r="B118" s="383"/>
      <c r="C118" s="421"/>
      <c r="D118" s="422"/>
      <c r="E118" s="422"/>
      <c r="F118" s="422"/>
      <c r="G118" s="422"/>
      <c r="H118" s="421"/>
      <c r="I118" s="421"/>
      <c r="J118" s="422"/>
      <c r="K118" s="422"/>
      <c r="L118" s="422"/>
      <c r="M118" s="422"/>
      <c r="N118" s="422"/>
      <c r="O118" s="422"/>
      <c r="P118" s="422"/>
      <c r="Q118" s="421"/>
      <c r="R118" s="421"/>
      <c r="S118" s="422"/>
    </row>
    <row r="119" spans="1:19" ht="75.75" customHeight="1">
      <c r="A119" s="383"/>
      <c r="B119" s="921" t="s">
        <v>539</v>
      </c>
      <c r="C119" s="921"/>
      <c r="D119" s="425"/>
      <c r="E119" s="425"/>
      <c r="F119" s="422"/>
      <c r="G119" s="422"/>
      <c r="H119" s="421"/>
      <c r="I119" s="421"/>
      <c r="J119" s="422"/>
      <c r="K119" s="422"/>
      <c r="L119" s="422"/>
      <c r="M119" s="422"/>
      <c r="N119" s="920" t="s">
        <v>433</v>
      </c>
      <c r="O119" s="920"/>
      <c r="P119" s="920"/>
      <c r="Q119" s="920"/>
      <c r="R119" s="920"/>
      <c r="S119" s="920"/>
    </row>
    <row r="120" spans="1:2" ht="18.75">
      <c r="A120" s="391"/>
      <c r="B120" s="391"/>
    </row>
  </sheetData>
  <sheetProtection/>
  <mergeCells count="31">
    <mergeCell ref="N114:S114"/>
    <mergeCell ref="E8:E9"/>
    <mergeCell ref="D7:E7"/>
    <mergeCell ref="A3:D3"/>
    <mergeCell ref="Q7:Q9"/>
    <mergeCell ref="R6:R9"/>
    <mergeCell ref="J8:P8"/>
    <mergeCell ref="B114:C114"/>
    <mergeCell ref="A2:D2"/>
    <mergeCell ref="H6:Q6"/>
    <mergeCell ref="D8:D9"/>
    <mergeCell ref="H7:H9"/>
    <mergeCell ref="P4:S4"/>
    <mergeCell ref="C7:C9"/>
    <mergeCell ref="A6:B9"/>
    <mergeCell ref="E1:O1"/>
    <mergeCell ref="E2:O2"/>
    <mergeCell ref="E3:O3"/>
    <mergeCell ref="F6:F9"/>
    <mergeCell ref="G6:G9"/>
    <mergeCell ref="P2:S2"/>
    <mergeCell ref="B116:O116"/>
    <mergeCell ref="C6:E6"/>
    <mergeCell ref="N119:S119"/>
    <mergeCell ref="B119:C119"/>
    <mergeCell ref="A10:B10"/>
    <mergeCell ref="I8:I9"/>
    <mergeCell ref="A11:B11"/>
    <mergeCell ref="S6:S9"/>
    <mergeCell ref="N115:S115"/>
    <mergeCell ref="I7:P7"/>
  </mergeCells>
  <conditionalFormatting sqref="I63">
    <cfRule type="expression" priority="9" dxfId="0" stopIfTrue="1">
      <formula>$I$16&lt;&gt;SUM($J$16:$P$16)</formula>
    </cfRule>
  </conditionalFormatting>
  <conditionalFormatting sqref="H63">
    <cfRule type="expression" priority="8" dxfId="0" stopIfTrue="1">
      <formula>$H$16&lt;&gt;$I$16+$Q$16</formula>
    </cfRule>
  </conditionalFormatting>
  <conditionalFormatting sqref="I63">
    <cfRule type="expression" priority="7" dxfId="0" stopIfTrue="1">
      <formula>$I$16&lt;&gt;SUM($J$16:$P$16)</formula>
    </cfRule>
  </conditionalFormatting>
  <conditionalFormatting sqref="C89">
    <cfRule type="expression" priority="6" dxfId="0" stopIfTrue="1">
      <formula>#REF!&lt;&gt;#REF!+#REF!</formula>
    </cfRule>
  </conditionalFormatting>
  <conditionalFormatting sqref="I89">
    <cfRule type="expression" priority="5" dxfId="0" stopIfTrue="1">
      <formula>#REF!&lt;&gt;SUM(#REF!)</formula>
    </cfRule>
  </conditionalFormatting>
  <conditionalFormatting sqref="H89">
    <cfRule type="expression" priority="4" dxfId="0" stopIfTrue="1">
      <formula>#REF!&lt;&gt;#REF!+#REF!</formula>
    </cfRule>
  </conditionalFormatting>
  <conditionalFormatting sqref="C88">
    <cfRule type="expression" priority="3" dxfId="0" stopIfTrue="1">
      <formula>$C$16&lt;&gt;$F$16+$H$16</formula>
    </cfRule>
  </conditionalFormatting>
  <conditionalFormatting sqref="I88">
    <cfRule type="expression" priority="2" dxfId="0" stopIfTrue="1">
      <formula>$I$16&lt;&gt;SUM($J$16:$P$16)</formula>
    </cfRule>
  </conditionalFormatting>
  <conditionalFormatting sqref="H88">
    <cfRule type="expression" priority="1" dxfId="0" stopIfTrue="1">
      <formula>$H$16&lt;&gt;$I$16+$Q$16</formula>
    </cfRule>
  </conditionalFormatting>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ignoredErrors>
    <ignoredError sqref="C106 D90:Q90 C91:C93 H91:I93 C69:C71" unlockedFormula="1"/>
    <ignoredError sqref="C94 C90 C68:Q68" formula="1" unlockedFormula="1"/>
    <ignoredError sqref="C61" formula="1"/>
    <ignoredError sqref="D108:Q108 O111:Q113 D109 D107:G107 I107:Q107" numberStoredAsText="1"/>
  </ignoredErrors>
  <drawing r:id="rId1"/>
</worksheet>
</file>

<file path=xl/worksheets/sheet14.xml><?xml version="1.0" encoding="utf-8"?>
<worksheet xmlns="http://schemas.openxmlformats.org/spreadsheetml/2006/main" xmlns:r="http://schemas.openxmlformats.org/officeDocument/2006/relationships">
  <sheetPr>
    <tabColor indexed="19"/>
  </sheetPr>
  <dimension ref="A1:AJ123"/>
  <sheetViews>
    <sheetView showZeros="0" view="pageBreakPreview" zoomScale="85" zoomScaleNormal="85" zoomScaleSheetLayoutView="85" zoomScalePageLayoutView="0" workbookViewId="0" topLeftCell="A1">
      <selection activeCell="U11" sqref="U11:U13"/>
    </sheetView>
  </sheetViews>
  <sheetFormatPr defaultColWidth="9.00390625" defaultRowHeight="15.75"/>
  <cols>
    <col min="1" max="1" width="5.50390625" style="440" customWidth="1"/>
    <col min="2" max="2" width="15.625" style="441" customWidth="1"/>
    <col min="3" max="3" width="10.125" style="442" customWidth="1"/>
    <col min="4" max="4" width="10.625" style="443" customWidth="1"/>
    <col min="5" max="5" width="8.875" style="443" customWidth="1"/>
    <col min="6" max="6" width="7.50390625" style="443" customWidth="1"/>
    <col min="7" max="7" width="8.75390625" style="443" customWidth="1"/>
    <col min="8" max="8" width="10.00390625" style="442" customWidth="1"/>
    <col min="9" max="9" width="10.25390625" style="442" customWidth="1"/>
    <col min="10" max="10" width="8.625" style="443" customWidth="1"/>
    <col min="11" max="11" width="8.50390625" style="443" customWidth="1"/>
    <col min="12" max="12" width="5.875" style="443" customWidth="1"/>
    <col min="13" max="13" width="10.00390625" style="443" customWidth="1"/>
    <col min="14" max="14" width="7.50390625" style="443" customWidth="1"/>
    <col min="15" max="15" width="9.00390625" style="443" customWidth="1"/>
    <col min="16" max="16" width="6.375" style="443" customWidth="1"/>
    <col min="17" max="17" width="7.25390625" style="443" customWidth="1"/>
    <col min="18" max="18" width="10.875" style="442" customWidth="1"/>
    <col min="19" max="19" width="10.25390625" style="442" customWidth="1"/>
    <col min="20" max="20" width="5.25390625" style="441" customWidth="1"/>
    <col min="21" max="21" width="11.50390625" style="443" bestFit="1" customWidth="1"/>
    <col min="22" max="16384" width="9.00390625" style="441" customWidth="1"/>
  </cols>
  <sheetData>
    <row r="1" spans="1:20" ht="20.25" customHeight="1">
      <c r="A1" s="440" t="s">
        <v>28</v>
      </c>
      <c r="E1" s="945" t="s">
        <v>64</v>
      </c>
      <c r="F1" s="945"/>
      <c r="G1" s="945"/>
      <c r="H1" s="945"/>
      <c r="I1" s="945"/>
      <c r="J1" s="945"/>
      <c r="K1" s="945"/>
      <c r="L1" s="945"/>
      <c r="M1" s="945"/>
      <c r="N1" s="945"/>
      <c r="O1" s="945"/>
      <c r="P1" s="945"/>
      <c r="Q1" s="444" t="s">
        <v>428</v>
      </c>
      <c r="R1" s="445"/>
      <c r="S1" s="445"/>
      <c r="T1" s="446"/>
    </row>
    <row r="2" spans="1:20" ht="17.25" customHeight="1">
      <c r="A2" s="944" t="s">
        <v>237</v>
      </c>
      <c r="B2" s="944"/>
      <c r="C2" s="944"/>
      <c r="D2" s="944"/>
      <c r="E2" s="946" t="s">
        <v>34</v>
      </c>
      <c r="F2" s="946"/>
      <c r="G2" s="946"/>
      <c r="H2" s="946"/>
      <c r="I2" s="946"/>
      <c r="J2" s="946"/>
      <c r="K2" s="946"/>
      <c r="L2" s="946"/>
      <c r="M2" s="946"/>
      <c r="N2" s="946"/>
      <c r="O2" s="946"/>
      <c r="P2" s="946"/>
      <c r="Q2" s="948" t="str">
        <f>'Thong tin'!B4</f>
        <v>CTHADS Hải Phòng</v>
      </c>
      <c r="R2" s="948"/>
      <c r="S2" s="948"/>
      <c r="T2" s="948"/>
    </row>
    <row r="3" spans="1:20" ht="18" customHeight="1">
      <c r="A3" s="944" t="s">
        <v>238</v>
      </c>
      <c r="B3" s="944"/>
      <c r="C3" s="944"/>
      <c r="D3" s="944"/>
      <c r="E3" s="947" t="str">
        <f>'Thong tin'!B3</f>
        <v>04 tháng / năm 2017</v>
      </c>
      <c r="F3" s="947"/>
      <c r="G3" s="947"/>
      <c r="H3" s="947"/>
      <c r="I3" s="947"/>
      <c r="J3" s="947"/>
      <c r="K3" s="947"/>
      <c r="L3" s="947"/>
      <c r="M3" s="947"/>
      <c r="N3" s="947"/>
      <c r="O3" s="947"/>
      <c r="P3" s="947"/>
      <c r="Q3" s="444" t="s">
        <v>538</v>
      </c>
      <c r="S3" s="445"/>
      <c r="T3" s="446"/>
    </row>
    <row r="4" spans="1:20" ht="14.25" customHeight="1">
      <c r="A4" s="447" t="s">
        <v>116</v>
      </c>
      <c r="Q4" s="949" t="s">
        <v>300</v>
      </c>
      <c r="R4" s="949"/>
      <c r="S4" s="949"/>
      <c r="T4" s="949"/>
    </row>
    <row r="5" spans="17:20" ht="21.75" customHeight="1" thickBot="1">
      <c r="Q5" s="954" t="s">
        <v>429</v>
      </c>
      <c r="R5" s="954"/>
      <c r="S5" s="954"/>
      <c r="T5" s="954"/>
    </row>
    <row r="6" spans="1:36" ht="18.75" customHeight="1" thickTop="1">
      <c r="A6" s="962" t="s">
        <v>55</v>
      </c>
      <c r="B6" s="963"/>
      <c r="C6" s="968" t="s">
        <v>117</v>
      </c>
      <c r="D6" s="968"/>
      <c r="E6" s="968"/>
      <c r="F6" s="955" t="s">
        <v>99</v>
      </c>
      <c r="G6" s="955" t="s">
        <v>118</v>
      </c>
      <c r="H6" s="970" t="s">
        <v>100</v>
      </c>
      <c r="I6" s="970"/>
      <c r="J6" s="970"/>
      <c r="K6" s="970"/>
      <c r="L6" s="970"/>
      <c r="M6" s="970"/>
      <c r="N6" s="970"/>
      <c r="O6" s="970"/>
      <c r="P6" s="970"/>
      <c r="Q6" s="970"/>
      <c r="R6" s="970"/>
      <c r="S6" s="966" t="s">
        <v>242</v>
      </c>
      <c r="T6" s="950" t="s">
        <v>427</v>
      </c>
      <c r="U6" s="444"/>
      <c r="V6" s="446"/>
      <c r="W6" s="446"/>
      <c r="X6" s="446"/>
      <c r="Y6" s="446"/>
      <c r="Z6" s="446"/>
      <c r="AA6" s="446"/>
      <c r="AB6" s="446"/>
      <c r="AC6" s="446"/>
      <c r="AD6" s="446"/>
      <c r="AE6" s="446"/>
      <c r="AF6" s="446"/>
      <c r="AG6" s="446"/>
      <c r="AH6" s="446"/>
      <c r="AI6" s="446"/>
      <c r="AJ6" s="446"/>
    </row>
    <row r="7" spans="1:36" s="450" customFormat="1" ht="21" customHeight="1">
      <c r="A7" s="964"/>
      <c r="B7" s="965"/>
      <c r="C7" s="967" t="s">
        <v>42</v>
      </c>
      <c r="D7" s="952" t="s">
        <v>7</v>
      </c>
      <c r="E7" s="952"/>
      <c r="F7" s="956"/>
      <c r="G7" s="956"/>
      <c r="H7" s="953" t="s">
        <v>100</v>
      </c>
      <c r="I7" s="952" t="s">
        <v>101</v>
      </c>
      <c r="J7" s="952"/>
      <c r="K7" s="952"/>
      <c r="L7" s="952"/>
      <c r="M7" s="952"/>
      <c r="N7" s="952"/>
      <c r="O7" s="952"/>
      <c r="P7" s="952"/>
      <c r="Q7" s="952"/>
      <c r="R7" s="953" t="s">
        <v>119</v>
      </c>
      <c r="S7" s="967"/>
      <c r="T7" s="951"/>
      <c r="U7" s="444"/>
      <c r="V7" s="446"/>
      <c r="W7" s="446"/>
      <c r="X7" s="446"/>
      <c r="Y7" s="446"/>
      <c r="Z7" s="446"/>
      <c r="AA7" s="446"/>
      <c r="AB7" s="446"/>
      <c r="AC7" s="446"/>
      <c r="AD7" s="446"/>
      <c r="AE7" s="446"/>
      <c r="AF7" s="446"/>
      <c r="AG7" s="446"/>
      <c r="AH7" s="446"/>
      <c r="AI7" s="446"/>
      <c r="AJ7" s="446"/>
    </row>
    <row r="8" spans="1:36" ht="21.75" customHeight="1">
      <c r="A8" s="964"/>
      <c r="B8" s="965"/>
      <c r="C8" s="967"/>
      <c r="D8" s="952" t="s">
        <v>120</v>
      </c>
      <c r="E8" s="952" t="s">
        <v>121</v>
      </c>
      <c r="F8" s="956"/>
      <c r="G8" s="956"/>
      <c r="H8" s="953"/>
      <c r="I8" s="953" t="s">
        <v>426</v>
      </c>
      <c r="J8" s="952" t="s">
        <v>7</v>
      </c>
      <c r="K8" s="952"/>
      <c r="L8" s="952"/>
      <c r="M8" s="952"/>
      <c r="N8" s="952"/>
      <c r="O8" s="952"/>
      <c r="P8" s="952"/>
      <c r="Q8" s="952"/>
      <c r="R8" s="953"/>
      <c r="S8" s="967"/>
      <c r="T8" s="951"/>
      <c r="U8" s="444"/>
      <c r="V8" s="446"/>
      <c r="W8" s="446"/>
      <c r="X8" s="446"/>
      <c r="Y8" s="446"/>
      <c r="Z8" s="446"/>
      <c r="AA8" s="446"/>
      <c r="AB8" s="446"/>
      <c r="AC8" s="446"/>
      <c r="AD8" s="446"/>
      <c r="AE8" s="446"/>
      <c r="AF8" s="446"/>
      <c r="AG8" s="446"/>
      <c r="AH8" s="446"/>
      <c r="AI8" s="446"/>
      <c r="AJ8" s="446"/>
    </row>
    <row r="9" spans="1:36" ht="84" customHeight="1">
      <c r="A9" s="964"/>
      <c r="B9" s="965"/>
      <c r="C9" s="967"/>
      <c r="D9" s="952"/>
      <c r="E9" s="952"/>
      <c r="F9" s="956"/>
      <c r="G9" s="956"/>
      <c r="H9" s="953"/>
      <c r="I9" s="953"/>
      <c r="J9" s="448" t="s">
        <v>122</v>
      </c>
      <c r="K9" s="448" t="s">
        <v>123</v>
      </c>
      <c r="L9" s="448" t="s">
        <v>115</v>
      </c>
      <c r="M9" s="449" t="s">
        <v>103</v>
      </c>
      <c r="N9" s="449" t="s">
        <v>124</v>
      </c>
      <c r="O9" s="449" t="s">
        <v>106</v>
      </c>
      <c r="P9" s="449" t="s">
        <v>243</v>
      </c>
      <c r="Q9" s="449" t="s">
        <v>109</v>
      </c>
      <c r="R9" s="953"/>
      <c r="S9" s="967"/>
      <c r="T9" s="951"/>
      <c r="U9" s="444"/>
      <c r="V9" s="446"/>
      <c r="W9" s="446"/>
      <c r="X9" s="446"/>
      <c r="Y9" s="446"/>
      <c r="Z9" s="446"/>
      <c r="AA9" s="446"/>
      <c r="AB9" s="446"/>
      <c r="AC9" s="446"/>
      <c r="AD9" s="446"/>
      <c r="AE9" s="446"/>
      <c r="AF9" s="446"/>
      <c r="AG9" s="446"/>
      <c r="AH9" s="446"/>
      <c r="AI9" s="446"/>
      <c r="AJ9" s="446"/>
    </row>
    <row r="10" spans="1:20" ht="17.25" customHeight="1">
      <c r="A10" s="971" t="s">
        <v>6</v>
      </c>
      <c r="B10" s="972"/>
      <c r="C10" s="401">
        <v>1</v>
      </c>
      <c r="D10" s="394">
        <v>2</v>
      </c>
      <c r="E10" s="394">
        <v>3</v>
      </c>
      <c r="F10" s="394">
        <v>4</v>
      </c>
      <c r="G10" s="394">
        <v>5</v>
      </c>
      <c r="H10" s="401">
        <v>6</v>
      </c>
      <c r="I10" s="401">
        <v>7</v>
      </c>
      <c r="J10" s="394">
        <v>8</v>
      </c>
      <c r="K10" s="394">
        <v>9</v>
      </c>
      <c r="L10" s="394" t="s">
        <v>81</v>
      </c>
      <c r="M10" s="394" t="s">
        <v>82</v>
      </c>
      <c r="N10" s="394" t="s">
        <v>83</v>
      </c>
      <c r="O10" s="394" t="s">
        <v>84</v>
      </c>
      <c r="P10" s="394" t="s">
        <v>85</v>
      </c>
      <c r="Q10" s="394" t="s">
        <v>245</v>
      </c>
      <c r="R10" s="401" t="s">
        <v>246</v>
      </c>
      <c r="S10" s="401" t="s">
        <v>247</v>
      </c>
      <c r="T10" s="393" t="s">
        <v>248</v>
      </c>
    </row>
    <row r="11" spans="1:21" s="455" customFormat="1" ht="24" customHeight="1">
      <c r="A11" s="960" t="s">
        <v>30</v>
      </c>
      <c r="B11" s="961"/>
      <c r="C11" s="451">
        <f aca="true" t="shared" si="0" ref="C11:R11">C12+C30</f>
        <v>3808481141</v>
      </c>
      <c r="D11" s="451">
        <f t="shared" si="0"/>
        <v>3394635352</v>
      </c>
      <c r="E11" s="451">
        <f t="shared" si="0"/>
        <v>413845789</v>
      </c>
      <c r="F11" s="451">
        <f t="shared" si="0"/>
        <v>5984668</v>
      </c>
      <c r="G11" s="451">
        <f t="shared" si="0"/>
        <v>13759014</v>
      </c>
      <c r="H11" s="451">
        <f t="shared" si="0"/>
        <v>3802496473</v>
      </c>
      <c r="I11" s="451">
        <f t="shared" si="0"/>
        <v>2380650415</v>
      </c>
      <c r="J11" s="451">
        <f t="shared" si="0"/>
        <v>93048833</v>
      </c>
      <c r="K11" s="451">
        <f t="shared" si="0"/>
        <v>24458562</v>
      </c>
      <c r="L11" s="451">
        <f t="shared" si="0"/>
        <v>11692</v>
      </c>
      <c r="M11" s="451">
        <f t="shared" si="0"/>
        <v>2216193627</v>
      </c>
      <c r="N11" s="451">
        <f t="shared" si="0"/>
        <v>1650637</v>
      </c>
      <c r="O11" s="451">
        <f t="shared" si="0"/>
        <v>39265147</v>
      </c>
      <c r="P11" s="451">
        <f t="shared" si="0"/>
        <v>0</v>
      </c>
      <c r="Q11" s="451">
        <f t="shared" si="0"/>
        <v>6021917</v>
      </c>
      <c r="R11" s="451">
        <f t="shared" si="0"/>
        <v>1421846058</v>
      </c>
      <c r="S11" s="452">
        <f>S12+S30</f>
        <v>3684977386</v>
      </c>
      <c r="T11" s="453">
        <f>(J11+K11+L11)/I11*100</f>
        <v>4.936427719901076</v>
      </c>
      <c r="U11" s="454"/>
    </row>
    <row r="12" spans="1:21" s="455" customFormat="1" ht="24" customHeight="1">
      <c r="A12" s="456" t="s">
        <v>0</v>
      </c>
      <c r="B12" s="456" t="s">
        <v>78</v>
      </c>
      <c r="C12" s="451">
        <f>SUM(C13:C29)</f>
        <v>1008164865</v>
      </c>
      <c r="D12" s="451">
        <f>SUM(D13:D29)</f>
        <v>979878620</v>
      </c>
      <c r="E12" s="451">
        <f aca="true" t="shared" si="1" ref="E12:R12">SUM(E13:E29)</f>
        <v>28286245</v>
      </c>
      <c r="F12" s="451">
        <f t="shared" si="1"/>
        <v>32059</v>
      </c>
      <c r="G12" s="451">
        <f t="shared" si="1"/>
        <v>0</v>
      </c>
      <c r="H12" s="451">
        <f t="shared" si="1"/>
        <v>1008132806</v>
      </c>
      <c r="I12" s="451">
        <f t="shared" si="1"/>
        <v>735671033</v>
      </c>
      <c r="J12" s="451">
        <f t="shared" si="1"/>
        <v>37357210</v>
      </c>
      <c r="K12" s="451">
        <f t="shared" si="1"/>
        <v>42717</v>
      </c>
      <c r="L12" s="451">
        <f t="shared" si="1"/>
        <v>0</v>
      </c>
      <c r="M12" s="451">
        <f t="shared" si="1"/>
        <v>675924735</v>
      </c>
      <c r="N12" s="451">
        <f t="shared" si="1"/>
        <v>0</v>
      </c>
      <c r="O12" s="451">
        <f t="shared" si="1"/>
        <v>22346371</v>
      </c>
      <c r="P12" s="451">
        <f t="shared" si="1"/>
        <v>0</v>
      </c>
      <c r="Q12" s="451">
        <f t="shared" si="1"/>
        <v>0</v>
      </c>
      <c r="R12" s="451">
        <f t="shared" si="1"/>
        <v>272461773</v>
      </c>
      <c r="S12" s="451">
        <f>SUM(S13:S29)</f>
        <v>970732879</v>
      </c>
      <c r="T12" s="453">
        <f aca="true" t="shared" si="2" ref="T12:T75">(J12+K12+L12)/I12*100</f>
        <v>5.08378409946175</v>
      </c>
      <c r="U12" s="454"/>
    </row>
    <row r="13" spans="1:21" ht="24" customHeight="1">
      <c r="A13" s="457" t="s">
        <v>45</v>
      </c>
      <c r="B13" s="457" t="s">
        <v>435</v>
      </c>
      <c r="C13" s="458">
        <f>D13+E13</f>
        <v>5927532</v>
      </c>
      <c r="D13" s="459">
        <v>5804032</v>
      </c>
      <c r="E13" s="458">
        <v>123500</v>
      </c>
      <c r="F13" s="458"/>
      <c r="G13" s="458"/>
      <c r="H13" s="458">
        <f>I13+R13</f>
        <v>5927532</v>
      </c>
      <c r="I13" s="458">
        <f>SUM(J13:Q13)</f>
        <v>5927532</v>
      </c>
      <c r="J13" s="458">
        <v>9000</v>
      </c>
      <c r="K13" s="458"/>
      <c r="L13" s="458"/>
      <c r="M13" s="458">
        <f>5920532-2000</f>
        <v>5918532</v>
      </c>
      <c r="N13" s="458"/>
      <c r="O13" s="458"/>
      <c r="P13" s="458"/>
      <c r="Q13" s="458"/>
      <c r="R13" s="458"/>
      <c r="S13" s="460">
        <f aca="true" t="shared" si="3" ref="S13:S76">SUM(M13:R13)</f>
        <v>5918532</v>
      </c>
      <c r="T13" s="461">
        <f t="shared" si="2"/>
        <v>0.15183384923101217</v>
      </c>
      <c r="U13" s="454"/>
    </row>
    <row r="14" spans="1:21" ht="24" customHeight="1">
      <c r="A14" s="457" t="s">
        <v>46</v>
      </c>
      <c r="B14" s="457" t="s">
        <v>436</v>
      </c>
      <c r="C14" s="458">
        <f aca="true" t="shared" si="4" ref="C14:C29">D14+E14</f>
        <v>1210750</v>
      </c>
      <c r="D14" s="459">
        <v>5150</v>
      </c>
      <c r="E14" s="458">
        <v>1205600</v>
      </c>
      <c r="F14" s="458"/>
      <c r="G14" s="458"/>
      <c r="H14" s="458">
        <f aca="true" t="shared" si="5" ref="H14:H77">I14+R14</f>
        <v>1210750</v>
      </c>
      <c r="I14" s="458">
        <f aca="true" t="shared" si="6" ref="I14:I77">SUM(J14:Q14)</f>
        <v>1210750</v>
      </c>
      <c r="J14" s="458"/>
      <c r="K14" s="458"/>
      <c r="L14" s="458"/>
      <c r="M14" s="458">
        <v>1210750</v>
      </c>
      <c r="N14" s="458"/>
      <c r="O14" s="458"/>
      <c r="P14" s="458"/>
      <c r="Q14" s="458"/>
      <c r="R14" s="458"/>
      <c r="S14" s="460">
        <f t="shared" si="3"/>
        <v>1210750</v>
      </c>
      <c r="T14" s="461">
        <f t="shared" si="2"/>
        <v>0</v>
      </c>
      <c r="U14" s="454">
        <f aca="true" t="shared" si="7" ref="U14:U75">C14-F14-H14</f>
        <v>0</v>
      </c>
    </row>
    <row r="15" spans="1:21" ht="24" customHeight="1">
      <c r="A15" s="457" t="s">
        <v>102</v>
      </c>
      <c r="B15" s="457" t="s">
        <v>433</v>
      </c>
      <c r="C15" s="458">
        <f>D15+E15</f>
        <v>500</v>
      </c>
      <c r="D15" s="459">
        <v>100</v>
      </c>
      <c r="E15" s="458">
        <v>400</v>
      </c>
      <c r="F15" s="458"/>
      <c r="G15" s="458"/>
      <c r="H15" s="458">
        <f t="shared" si="5"/>
        <v>500</v>
      </c>
      <c r="I15" s="458">
        <f t="shared" si="6"/>
        <v>500</v>
      </c>
      <c r="J15" s="458"/>
      <c r="K15" s="458"/>
      <c r="L15" s="458"/>
      <c r="M15" s="458">
        <v>500</v>
      </c>
      <c r="N15" s="458"/>
      <c r="O15" s="458"/>
      <c r="P15" s="458"/>
      <c r="Q15" s="458"/>
      <c r="R15" s="458"/>
      <c r="S15" s="460">
        <f t="shared" si="3"/>
        <v>500</v>
      </c>
      <c r="T15" s="461">
        <f t="shared" si="2"/>
        <v>0</v>
      </c>
      <c r="U15" s="454">
        <f t="shared" si="7"/>
        <v>0</v>
      </c>
    </row>
    <row r="16" spans="1:21" ht="24" customHeight="1">
      <c r="A16" s="457" t="s">
        <v>104</v>
      </c>
      <c r="B16" s="457" t="s">
        <v>531</v>
      </c>
      <c r="C16" s="458">
        <f t="shared" si="4"/>
        <v>464165</v>
      </c>
      <c r="D16" s="459">
        <v>290009</v>
      </c>
      <c r="E16" s="458">
        <v>174156</v>
      </c>
      <c r="F16" s="458"/>
      <c r="G16" s="458"/>
      <c r="H16" s="458">
        <f t="shared" si="5"/>
        <v>464165</v>
      </c>
      <c r="I16" s="458">
        <f t="shared" si="6"/>
        <v>464165</v>
      </c>
      <c r="J16" s="458">
        <v>600</v>
      </c>
      <c r="K16" s="458"/>
      <c r="L16" s="458"/>
      <c r="M16" s="458">
        <v>463565</v>
      </c>
      <c r="N16" s="458"/>
      <c r="O16" s="458"/>
      <c r="P16" s="458"/>
      <c r="Q16" s="458"/>
      <c r="R16" s="458"/>
      <c r="S16" s="460">
        <f t="shared" si="3"/>
        <v>463565</v>
      </c>
      <c r="T16" s="461">
        <f t="shared" si="2"/>
        <v>0.1292643779690412</v>
      </c>
      <c r="U16" s="454">
        <f t="shared" si="7"/>
        <v>0</v>
      </c>
    </row>
    <row r="17" spans="1:21" ht="24" customHeight="1">
      <c r="A17" s="457" t="s">
        <v>105</v>
      </c>
      <c r="B17" s="457" t="s">
        <v>437</v>
      </c>
      <c r="C17" s="458">
        <f t="shared" si="4"/>
        <v>3713515</v>
      </c>
      <c r="D17" s="459">
        <v>3713115</v>
      </c>
      <c r="E17" s="458">
        <v>400</v>
      </c>
      <c r="F17" s="458"/>
      <c r="G17" s="458"/>
      <c r="H17" s="458">
        <f t="shared" si="5"/>
        <v>3713515</v>
      </c>
      <c r="I17" s="458">
        <f t="shared" si="6"/>
        <v>3685993</v>
      </c>
      <c r="J17" s="458"/>
      <c r="K17" s="458"/>
      <c r="L17" s="462"/>
      <c r="M17" s="462">
        <f>3685593+400</f>
        <v>3685993</v>
      </c>
      <c r="N17" s="463"/>
      <c r="O17" s="463"/>
      <c r="P17" s="463"/>
      <c r="Q17" s="463"/>
      <c r="R17" s="463">
        <v>27522</v>
      </c>
      <c r="S17" s="460">
        <f t="shared" si="3"/>
        <v>3713515</v>
      </c>
      <c r="T17" s="461">
        <f t="shared" si="2"/>
        <v>0</v>
      </c>
      <c r="U17" s="454">
        <f t="shared" si="7"/>
        <v>0</v>
      </c>
    </row>
    <row r="18" spans="1:21" ht="24" customHeight="1">
      <c r="A18" s="457" t="s">
        <v>107</v>
      </c>
      <c r="B18" s="457" t="s">
        <v>438</v>
      </c>
      <c r="C18" s="458">
        <f t="shared" si="4"/>
        <v>42670781</v>
      </c>
      <c r="D18" s="459">
        <v>42638111</v>
      </c>
      <c r="E18" s="463">
        <v>32670</v>
      </c>
      <c r="F18" s="458"/>
      <c r="G18" s="463"/>
      <c r="H18" s="458">
        <f t="shared" si="5"/>
        <v>42670781</v>
      </c>
      <c r="I18" s="458">
        <f t="shared" si="6"/>
        <v>12616284</v>
      </c>
      <c r="J18" s="463"/>
      <c r="K18" s="463"/>
      <c r="L18" s="463"/>
      <c r="M18" s="463">
        <f>12583614+32670</f>
        <v>12616284</v>
      </c>
      <c r="N18" s="462"/>
      <c r="O18" s="463"/>
      <c r="P18" s="463"/>
      <c r="Q18" s="463"/>
      <c r="R18" s="463">
        <v>30054497</v>
      </c>
      <c r="S18" s="460">
        <f t="shared" si="3"/>
        <v>42670781</v>
      </c>
      <c r="T18" s="461">
        <f t="shared" si="2"/>
        <v>0</v>
      </c>
      <c r="U18" s="454">
        <f t="shared" si="7"/>
        <v>0</v>
      </c>
    </row>
    <row r="19" spans="1:21" ht="24" customHeight="1">
      <c r="A19" s="457" t="s">
        <v>108</v>
      </c>
      <c r="B19" s="457" t="s">
        <v>439</v>
      </c>
      <c r="C19" s="458">
        <f t="shared" si="4"/>
        <v>24794073</v>
      </c>
      <c r="D19" s="459">
        <v>24794073</v>
      </c>
      <c r="E19" s="463"/>
      <c r="F19" s="458"/>
      <c r="G19" s="463"/>
      <c r="H19" s="458">
        <f t="shared" si="5"/>
        <v>24794073</v>
      </c>
      <c r="I19" s="458">
        <f t="shared" si="6"/>
        <v>24664467</v>
      </c>
      <c r="J19" s="463"/>
      <c r="K19" s="463"/>
      <c r="L19" s="463"/>
      <c r="M19" s="463">
        <v>24664467</v>
      </c>
      <c r="N19" s="462"/>
      <c r="O19" s="463"/>
      <c r="P19" s="463"/>
      <c r="Q19" s="463"/>
      <c r="R19" s="463">
        <v>129606</v>
      </c>
      <c r="S19" s="460">
        <f t="shared" si="3"/>
        <v>24794073</v>
      </c>
      <c r="T19" s="461">
        <f t="shared" si="2"/>
        <v>0</v>
      </c>
      <c r="U19" s="454">
        <f t="shared" si="7"/>
        <v>0</v>
      </c>
    </row>
    <row r="20" spans="1:21" ht="24" customHeight="1">
      <c r="A20" s="457" t="s">
        <v>114</v>
      </c>
      <c r="B20" s="457" t="s">
        <v>440</v>
      </c>
      <c r="C20" s="458">
        <f t="shared" si="4"/>
        <v>238690</v>
      </c>
      <c r="D20" s="459">
        <v>147000</v>
      </c>
      <c r="E20" s="463">
        <v>91690</v>
      </c>
      <c r="F20" s="458"/>
      <c r="G20" s="463"/>
      <c r="H20" s="458">
        <f t="shared" si="5"/>
        <v>238690</v>
      </c>
      <c r="I20" s="458">
        <f t="shared" si="6"/>
        <v>238690</v>
      </c>
      <c r="J20" s="463">
        <v>3600</v>
      </c>
      <c r="K20" s="463"/>
      <c r="L20" s="463"/>
      <c r="M20" s="463">
        <v>235090</v>
      </c>
      <c r="N20" s="462"/>
      <c r="O20" s="463"/>
      <c r="P20" s="463"/>
      <c r="Q20" s="463"/>
      <c r="R20" s="463"/>
      <c r="S20" s="460">
        <f t="shared" si="3"/>
        <v>235090</v>
      </c>
      <c r="T20" s="461">
        <f t="shared" si="2"/>
        <v>1.5082324353764296</v>
      </c>
      <c r="U20" s="454">
        <f t="shared" si="7"/>
        <v>0</v>
      </c>
    </row>
    <row r="21" spans="1:21" ht="24" customHeight="1">
      <c r="A21" s="457" t="s">
        <v>424</v>
      </c>
      <c r="B21" s="457" t="s">
        <v>442</v>
      </c>
      <c r="C21" s="458">
        <f t="shared" si="4"/>
        <v>118354615</v>
      </c>
      <c r="D21" s="459">
        <v>117342215</v>
      </c>
      <c r="E21" s="463">
        <v>1012400</v>
      </c>
      <c r="F21" s="458"/>
      <c r="G21" s="463"/>
      <c r="H21" s="458">
        <f t="shared" si="5"/>
        <v>118354615</v>
      </c>
      <c r="I21" s="458">
        <f t="shared" si="6"/>
        <v>118354615</v>
      </c>
      <c r="J21" s="463">
        <v>6017200</v>
      </c>
      <c r="K21" s="463"/>
      <c r="L21" s="463"/>
      <c r="M21" s="463">
        <v>112337415</v>
      </c>
      <c r="N21" s="462"/>
      <c r="O21" s="463"/>
      <c r="P21" s="463"/>
      <c r="Q21" s="463"/>
      <c r="R21" s="463"/>
      <c r="S21" s="460">
        <f t="shared" si="3"/>
        <v>112337415</v>
      </c>
      <c r="T21" s="461">
        <f t="shared" si="2"/>
        <v>5.0840434063344295</v>
      </c>
      <c r="U21" s="454">
        <f t="shared" si="7"/>
        <v>0</v>
      </c>
    </row>
    <row r="22" spans="1:21" ht="24" customHeight="1">
      <c r="A22" s="457" t="s">
        <v>441</v>
      </c>
      <c r="B22" s="457" t="s">
        <v>444</v>
      </c>
      <c r="C22" s="458">
        <f t="shared" si="4"/>
        <v>44163310</v>
      </c>
      <c r="D22" s="459">
        <v>44163310</v>
      </c>
      <c r="E22" s="463"/>
      <c r="F22" s="458"/>
      <c r="G22" s="463"/>
      <c r="H22" s="458">
        <f t="shared" si="5"/>
        <v>44163310</v>
      </c>
      <c r="I22" s="458">
        <f t="shared" si="6"/>
        <v>44163310</v>
      </c>
      <c r="J22" s="463"/>
      <c r="K22" s="463"/>
      <c r="L22" s="463"/>
      <c r="M22" s="463">
        <v>44163310</v>
      </c>
      <c r="N22" s="462"/>
      <c r="O22" s="463"/>
      <c r="P22" s="463"/>
      <c r="Q22" s="463"/>
      <c r="R22" s="463"/>
      <c r="S22" s="460">
        <f t="shared" si="3"/>
        <v>44163310</v>
      </c>
      <c r="T22" s="461">
        <f t="shared" si="2"/>
        <v>0</v>
      </c>
      <c r="U22" s="454">
        <f t="shared" si="7"/>
        <v>0</v>
      </c>
    </row>
    <row r="23" spans="1:21" ht="24" customHeight="1">
      <c r="A23" s="457" t="s">
        <v>443</v>
      </c>
      <c r="B23" s="457" t="s">
        <v>572</v>
      </c>
      <c r="C23" s="458">
        <f t="shared" si="4"/>
        <v>17203317</v>
      </c>
      <c r="D23" s="459">
        <v>17088954</v>
      </c>
      <c r="E23" s="463">
        <v>114363</v>
      </c>
      <c r="F23" s="458"/>
      <c r="G23" s="463"/>
      <c r="H23" s="458">
        <f t="shared" si="5"/>
        <v>17203317</v>
      </c>
      <c r="I23" s="458">
        <f t="shared" si="6"/>
        <v>17203317</v>
      </c>
      <c r="J23" s="463">
        <v>2475002</v>
      </c>
      <c r="K23" s="463"/>
      <c r="L23" s="463"/>
      <c r="M23" s="463">
        <v>14728315</v>
      </c>
      <c r="N23" s="462"/>
      <c r="O23" s="463"/>
      <c r="P23" s="463"/>
      <c r="Q23" s="463"/>
      <c r="R23" s="463"/>
      <c r="S23" s="460">
        <f t="shared" si="3"/>
        <v>14728315</v>
      </c>
      <c r="T23" s="461">
        <f t="shared" si="2"/>
        <v>14.38677203936892</v>
      </c>
      <c r="U23" s="454">
        <f t="shared" si="7"/>
        <v>0</v>
      </c>
    </row>
    <row r="24" spans="1:21" ht="24" customHeight="1">
      <c r="A24" s="457" t="s">
        <v>445</v>
      </c>
      <c r="B24" s="457" t="s">
        <v>543</v>
      </c>
      <c r="C24" s="458">
        <f t="shared" si="4"/>
        <v>298224986</v>
      </c>
      <c r="D24" s="463">
        <v>294361538</v>
      </c>
      <c r="E24" s="463">
        <v>3863448</v>
      </c>
      <c r="F24" s="458">
        <v>19200</v>
      </c>
      <c r="G24" s="463"/>
      <c r="H24" s="458">
        <f t="shared" si="5"/>
        <v>298205786</v>
      </c>
      <c r="I24" s="458">
        <f t="shared" si="6"/>
        <v>61442520</v>
      </c>
      <c r="J24" s="463">
        <v>26374744</v>
      </c>
      <c r="K24" s="463"/>
      <c r="L24" s="463"/>
      <c r="M24" s="463">
        <f>35086976-19200</f>
        <v>35067776</v>
      </c>
      <c r="N24" s="462"/>
      <c r="O24" s="463"/>
      <c r="P24" s="463"/>
      <c r="Q24" s="463"/>
      <c r="R24" s="463">
        <v>236763266</v>
      </c>
      <c r="S24" s="460">
        <f t="shared" si="3"/>
        <v>271831042</v>
      </c>
      <c r="T24" s="461">
        <f t="shared" si="2"/>
        <v>42.92588259726327</v>
      </c>
      <c r="U24" s="454">
        <f t="shared" si="7"/>
        <v>0</v>
      </c>
    </row>
    <row r="25" spans="1:21" ht="24" customHeight="1">
      <c r="A25" s="457" t="s">
        <v>446</v>
      </c>
      <c r="B25" s="457" t="s">
        <v>448</v>
      </c>
      <c r="C25" s="458">
        <f t="shared" si="4"/>
        <v>430890335</v>
      </c>
      <c r="D25" s="459">
        <v>421345804</v>
      </c>
      <c r="E25" s="463">
        <v>9544531</v>
      </c>
      <c r="F25" s="463">
        <v>12859</v>
      </c>
      <c r="G25" s="463"/>
      <c r="H25" s="458">
        <f t="shared" si="5"/>
        <v>430877476</v>
      </c>
      <c r="I25" s="458">
        <f t="shared" si="6"/>
        <v>430657994</v>
      </c>
      <c r="J25" s="463">
        <v>225301</v>
      </c>
      <c r="K25" s="463"/>
      <c r="L25" s="463"/>
      <c r="M25" s="463">
        <v>408086322</v>
      </c>
      <c r="N25" s="462"/>
      <c r="O25" s="463">
        <v>22346371</v>
      </c>
      <c r="P25" s="463"/>
      <c r="Q25" s="463"/>
      <c r="R25" s="463">
        <v>219482</v>
      </c>
      <c r="S25" s="460">
        <f t="shared" si="3"/>
        <v>430652175</v>
      </c>
      <c r="T25" s="461">
        <f t="shared" si="2"/>
        <v>0.052315527202311723</v>
      </c>
      <c r="U25" s="454">
        <f t="shared" si="7"/>
        <v>0</v>
      </c>
    </row>
    <row r="26" spans="1:21" ht="24" customHeight="1">
      <c r="A26" s="457" t="s">
        <v>447</v>
      </c>
      <c r="B26" s="457" t="s">
        <v>450</v>
      </c>
      <c r="C26" s="458">
        <f t="shared" si="4"/>
        <v>10296222</v>
      </c>
      <c r="D26" s="459">
        <v>2517346</v>
      </c>
      <c r="E26" s="463">
        <v>7778876</v>
      </c>
      <c r="F26" s="458"/>
      <c r="G26" s="463"/>
      <c r="H26" s="458">
        <f t="shared" si="5"/>
        <v>10296222</v>
      </c>
      <c r="I26" s="458">
        <f t="shared" si="6"/>
        <v>10296222</v>
      </c>
      <c r="J26" s="463">
        <v>1965100</v>
      </c>
      <c r="K26" s="463"/>
      <c r="L26" s="463"/>
      <c r="M26" s="463">
        <v>8331122</v>
      </c>
      <c r="N26" s="462"/>
      <c r="O26" s="463"/>
      <c r="P26" s="463"/>
      <c r="Q26" s="463"/>
      <c r="R26" s="463"/>
      <c r="S26" s="460">
        <f t="shared" si="3"/>
        <v>8331122</v>
      </c>
      <c r="T26" s="461">
        <f t="shared" si="2"/>
        <v>19.085641315814676</v>
      </c>
      <c r="U26" s="454">
        <f t="shared" si="7"/>
        <v>0</v>
      </c>
    </row>
    <row r="27" spans="1:21" ht="24" customHeight="1">
      <c r="A27" s="457" t="s">
        <v>449</v>
      </c>
      <c r="B27" s="457" t="s">
        <v>452</v>
      </c>
      <c r="C27" s="458">
        <f t="shared" si="4"/>
        <v>1804817</v>
      </c>
      <c r="D27" s="459">
        <v>421274</v>
      </c>
      <c r="E27" s="458">
        <v>1383543</v>
      </c>
      <c r="F27" s="458"/>
      <c r="G27" s="458"/>
      <c r="H27" s="458">
        <f t="shared" si="5"/>
        <v>1804817</v>
      </c>
      <c r="I27" s="458">
        <f t="shared" si="6"/>
        <v>1779817</v>
      </c>
      <c r="J27" s="458">
        <v>101737</v>
      </c>
      <c r="K27" s="458"/>
      <c r="L27" s="462"/>
      <c r="M27" s="462">
        <v>1678080</v>
      </c>
      <c r="N27" s="462"/>
      <c r="O27" s="463"/>
      <c r="P27" s="463"/>
      <c r="Q27" s="463"/>
      <c r="R27" s="463">
        <v>25000</v>
      </c>
      <c r="S27" s="460">
        <f t="shared" si="3"/>
        <v>1703080</v>
      </c>
      <c r="T27" s="461">
        <f t="shared" si="2"/>
        <v>5.7161494692993715</v>
      </c>
      <c r="U27" s="454">
        <f t="shared" si="7"/>
        <v>0</v>
      </c>
    </row>
    <row r="28" spans="1:21" ht="24" customHeight="1">
      <c r="A28" s="457" t="s">
        <v>451</v>
      </c>
      <c r="B28" s="457" t="s">
        <v>454</v>
      </c>
      <c r="C28" s="458">
        <f t="shared" si="4"/>
        <v>5349539</v>
      </c>
      <c r="D28" s="458">
        <v>5222389</v>
      </c>
      <c r="E28" s="458">
        <v>127150</v>
      </c>
      <c r="F28" s="458">
        <v>0</v>
      </c>
      <c r="G28" s="458"/>
      <c r="H28" s="458">
        <f t="shared" si="5"/>
        <v>5349539</v>
      </c>
      <c r="I28" s="458">
        <f t="shared" si="6"/>
        <v>173475</v>
      </c>
      <c r="J28" s="458">
        <v>800</v>
      </c>
      <c r="K28" s="458"/>
      <c r="L28" s="462"/>
      <c r="M28" s="462">
        <v>172675</v>
      </c>
      <c r="N28" s="462"/>
      <c r="O28" s="463"/>
      <c r="P28" s="463"/>
      <c r="Q28" s="463"/>
      <c r="R28" s="463">
        <v>5176064</v>
      </c>
      <c r="S28" s="460">
        <f t="shared" si="3"/>
        <v>5348739</v>
      </c>
      <c r="T28" s="461">
        <f t="shared" si="2"/>
        <v>0.4611615506557141</v>
      </c>
      <c r="U28" s="454">
        <f t="shared" si="7"/>
        <v>0</v>
      </c>
    </row>
    <row r="29" spans="1:21" ht="24" customHeight="1">
      <c r="A29" s="457" t="s">
        <v>453</v>
      </c>
      <c r="B29" s="457" t="s">
        <v>544</v>
      </c>
      <c r="C29" s="458">
        <f t="shared" si="4"/>
        <v>2857718</v>
      </c>
      <c r="D29" s="464">
        <v>24200</v>
      </c>
      <c r="E29" s="458">
        <v>2833518</v>
      </c>
      <c r="F29" s="458">
        <v>0</v>
      </c>
      <c r="G29" s="458"/>
      <c r="H29" s="458">
        <f t="shared" si="5"/>
        <v>2857718</v>
      </c>
      <c r="I29" s="458">
        <f t="shared" si="6"/>
        <v>2791382</v>
      </c>
      <c r="J29" s="458">
        <v>184126</v>
      </c>
      <c r="K29" s="458">
        <v>42717</v>
      </c>
      <c r="L29" s="462"/>
      <c r="M29" s="462">
        <f>2302162+262377</f>
        <v>2564539</v>
      </c>
      <c r="N29" s="462"/>
      <c r="O29" s="463"/>
      <c r="P29" s="463"/>
      <c r="Q29" s="463"/>
      <c r="R29" s="463">
        <v>66336</v>
      </c>
      <c r="S29" s="460">
        <f t="shared" si="3"/>
        <v>2630875</v>
      </c>
      <c r="T29" s="461">
        <f t="shared" si="2"/>
        <v>8.126548068304517</v>
      </c>
      <c r="U29" s="454">
        <f t="shared" si="7"/>
        <v>0</v>
      </c>
    </row>
    <row r="30" spans="1:21" s="455" customFormat="1" ht="24" customHeight="1">
      <c r="A30" s="465" t="s">
        <v>1</v>
      </c>
      <c r="B30" s="456" t="s">
        <v>455</v>
      </c>
      <c r="C30" s="477">
        <f aca="true" t="shared" si="8" ref="C30:R30">C31+C36+C41+C44+C47+C56+C61+C68+C72+C76+C87+C90+C94+C106+C109</f>
        <v>2800316276</v>
      </c>
      <c r="D30" s="477">
        <f t="shared" si="8"/>
        <v>2414756732</v>
      </c>
      <c r="E30" s="477">
        <f t="shared" si="8"/>
        <v>385559544</v>
      </c>
      <c r="F30" s="477">
        <f t="shared" si="8"/>
        <v>5952609</v>
      </c>
      <c r="G30" s="477">
        <f t="shared" si="8"/>
        <v>13759014</v>
      </c>
      <c r="H30" s="614">
        <f t="shared" si="5"/>
        <v>2794363667</v>
      </c>
      <c r="I30" s="614">
        <f t="shared" si="6"/>
        <v>1644979382</v>
      </c>
      <c r="J30" s="477">
        <f t="shared" si="8"/>
        <v>55691623</v>
      </c>
      <c r="K30" s="477">
        <f t="shared" si="8"/>
        <v>24415845</v>
      </c>
      <c r="L30" s="477">
        <f t="shared" si="8"/>
        <v>11692</v>
      </c>
      <c r="M30" s="477">
        <f t="shared" si="8"/>
        <v>1540268892</v>
      </c>
      <c r="N30" s="477">
        <f t="shared" si="8"/>
        <v>1650637</v>
      </c>
      <c r="O30" s="477">
        <f t="shared" si="8"/>
        <v>16918776</v>
      </c>
      <c r="P30" s="477">
        <f t="shared" si="8"/>
        <v>0</v>
      </c>
      <c r="Q30" s="477">
        <f t="shared" si="8"/>
        <v>6021917</v>
      </c>
      <c r="R30" s="477">
        <f t="shared" si="8"/>
        <v>1149384285</v>
      </c>
      <c r="S30" s="460">
        <f t="shared" si="3"/>
        <v>2714244507</v>
      </c>
      <c r="T30" s="461">
        <f t="shared" si="2"/>
        <v>4.8705266994039444</v>
      </c>
      <c r="U30" s="454">
        <f t="shared" si="7"/>
        <v>0</v>
      </c>
    </row>
    <row r="31" spans="1:21" s="474" customFormat="1" ht="24" customHeight="1">
      <c r="A31" s="465">
        <v>1</v>
      </c>
      <c r="B31" s="466" t="s">
        <v>456</v>
      </c>
      <c r="C31" s="478">
        <f>SUM(C32:C35)</f>
        <v>251041352</v>
      </c>
      <c r="D31" s="478">
        <f>SUM(D32:D35)</f>
        <v>232981768</v>
      </c>
      <c r="E31" s="478">
        <f aca="true" t="shared" si="9" ref="E31:R31">SUM(E32:E35)</f>
        <v>18059584</v>
      </c>
      <c r="F31" s="478">
        <f t="shared" si="9"/>
        <v>5350</v>
      </c>
      <c r="G31" s="478">
        <f t="shared" si="9"/>
        <v>0</v>
      </c>
      <c r="H31" s="614">
        <f t="shared" si="5"/>
        <v>251036002</v>
      </c>
      <c r="I31" s="614">
        <f t="shared" si="6"/>
        <v>187690333</v>
      </c>
      <c r="J31" s="478">
        <f t="shared" si="9"/>
        <v>680181</v>
      </c>
      <c r="K31" s="478">
        <f t="shared" si="9"/>
        <v>2568783</v>
      </c>
      <c r="L31" s="478">
        <f t="shared" si="9"/>
        <v>0</v>
      </c>
      <c r="M31" s="478">
        <f t="shared" si="9"/>
        <v>183741369</v>
      </c>
      <c r="N31" s="478">
        <f t="shared" si="9"/>
        <v>700000</v>
      </c>
      <c r="O31" s="478">
        <f t="shared" si="9"/>
        <v>0</v>
      </c>
      <c r="P31" s="478">
        <f t="shared" si="9"/>
        <v>0</v>
      </c>
      <c r="Q31" s="478">
        <f t="shared" si="9"/>
        <v>0</v>
      </c>
      <c r="R31" s="478">
        <f t="shared" si="9"/>
        <v>63345669</v>
      </c>
      <c r="S31" s="460">
        <f t="shared" si="3"/>
        <v>247787038</v>
      </c>
      <c r="T31" s="461">
        <f t="shared" si="2"/>
        <v>1.7310236217653256</v>
      </c>
      <c r="U31" s="454">
        <f t="shared" si="7"/>
        <v>0</v>
      </c>
    </row>
    <row r="32" spans="1:21" s="554" customFormat="1" ht="24" customHeight="1">
      <c r="A32" s="549">
        <v>1.1</v>
      </c>
      <c r="B32" s="550" t="s">
        <v>457</v>
      </c>
      <c r="C32" s="551">
        <f>SUM(D32+E32)</f>
        <v>127323028</v>
      </c>
      <c r="D32" s="552">
        <v>127217244</v>
      </c>
      <c r="E32" s="552">
        <v>105784</v>
      </c>
      <c r="F32" s="552">
        <v>200</v>
      </c>
      <c r="G32" s="552">
        <v>0</v>
      </c>
      <c r="H32" s="458">
        <f t="shared" si="5"/>
        <v>127322828</v>
      </c>
      <c r="I32" s="458">
        <f t="shared" si="6"/>
        <v>126930907</v>
      </c>
      <c r="J32" s="552">
        <v>40866</v>
      </c>
      <c r="K32" s="552">
        <v>2481292</v>
      </c>
      <c r="L32" s="552">
        <v>0</v>
      </c>
      <c r="M32" s="552">
        <v>124408749</v>
      </c>
      <c r="N32" s="552">
        <v>0</v>
      </c>
      <c r="O32" s="552">
        <v>0</v>
      </c>
      <c r="P32" s="552">
        <v>0</v>
      </c>
      <c r="Q32" s="552">
        <v>0</v>
      </c>
      <c r="R32" s="552">
        <v>391921</v>
      </c>
      <c r="S32" s="460">
        <f t="shared" si="3"/>
        <v>124800670</v>
      </c>
      <c r="T32" s="461">
        <f t="shared" si="2"/>
        <v>1.9870322048514157</v>
      </c>
      <c r="U32" s="553">
        <f t="shared" si="7"/>
        <v>0</v>
      </c>
    </row>
    <row r="33" spans="1:21" s="554" customFormat="1" ht="24" customHeight="1">
      <c r="A33" s="549">
        <v>1.2</v>
      </c>
      <c r="B33" s="550" t="s">
        <v>545</v>
      </c>
      <c r="C33" s="551">
        <f>SUM(D33+E33)</f>
        <v>61164182</v>
      </c>
      <c r="D33" s="552">
        <v>54063246</v>
      </c>
      <c r="E33" s="552">
        <v>7100936</v>
      </c>
      <c r="F33" s="552">
        <v>0</v>
      </c>
      <c r="G33" s="552"/>
      <c r="H33" s="458">
        <f t="shared" si="5"/>
        <v>61164182</v>
      </c>
      <c r="I33" s="458">
        <f t="shared" si="6"/>
        <v>19804988</v>
      </c>
      <c r="J33" s="552">
        <v>223342</v>
      </c>
      <c r="K33" s="552">
        <v>0</v>
      </c>
      <c r="L33" s="552"/>
      <c r="M33" s="552">
        <v>19581646</v>
      </c>
      <c r="N33" s="552">
        <v>0</v>
      </c>
      <c r="O33" s="552"/>
      <c r="P33" s="552"/>
      <c r="Q33" s="552">
        <v>0</v>
      </c>
      <c r="R33" s="552">
        <v>41359194</v>
      </c>
      <c r="S33" s="460">
        <f t="shared" si="3"/>
        <v>60940840</v>
      </c>
      <c r="T33" s="461">
        <f t="shared" si="2"/>
        <v>1.127705808253961</v>
      </c>
      <c r="U33" s="553">
        <f t="shared" si="7"/>
        <v>0</v>
      </c>
    </row>
    <row r="34" spans="1:21" s="554" customFormat="1" ht="24" customHeight="1">
      <c r="A34" s="549">
        <v>1.3</v>
      </c>
      <c r="B34" s="550" t="s">
        <v>458</v>
      </c>
      <c r="C34" s="551">
        <f>SUM(D34+E34)</f>
        <v>46118838</v>
      </c>
      <c r="D34" s="552">
        <v>39341858</v>
      </c>
      <c r="E34" s="552">
        <v>6776980</v>
      </c>
      <c r="F34" s="552">
        <v>0</v>
      </c>
      <c r="G34" s="552"/>
      <c r="H34" s="458">
        <f t="shared" si="5"/>
        <v>46118838</v>
      </c>
      <c r="I34" s="458">
        <f t="shared" si="6"/>
        <v>33590771</v>
      </c>
      <c r="J34" s="552">
        <v>315944</v>
      </c>
      <c r="K34" s="552">
        <v>75041</v>
      </c>
      <c r="L34" s="552"/>
      <c r="M34" s="552">
        <v>32499786</v>
      </c>
      <c r="N34" s="552">
        <v>700000</v>
      </c>
      <c r="O34" s="552"/>
      <c r="P34" s="552"/>
      <c r="Q34" s="552"/>
      <c r="R34" s="552">
        <v>12528067</v>
      </c>
      <c r="S34" s="460">
        <f t="shared" si="3"/>
        <v>45727853</v>
      </c>
      <c r="T34" s="461">
        <f t="shared" si="2"/>
        <v>1.1639655427974547</v>
      </c>
      <c r="U34" s="553">
        <f t="shared" si="7"/>
        <v>0</v>
      </c>
    </row>
    <row r="35" spans="1:21" s="554" customFormat="1" ht="24" customHeight="1">
      <c r="A35" s="549">
        <v>1.4</v>
      </c>
      <c r="B35" s="550" t="s">
        <v>546</v>
      </c>
      <c r="C35" s="551">
        <f>SUM(D35+E35)</f>
        <v>16435304</v>
      </c>
      <c r="D35" s="552">
        <v>12359420</v>
      </c>
      <c r="E35" s="552">
        <v>4075884</v>
      </c>
      <c r="F35" s="552">
        <v>5150</v>
      </c>
      <c r="G35" s="552"/>
      <c r="H35" s="458">
        <f t="shared" si="5"/>
        <v>16430154</v>
      </c>
      <c r="I35" s="458">
        <f t="shared" si="6"/>
        <v>7363667</v>
      </c>
      <c r="J35" s="552">
        <v>100029</v>
      </c>
      <c r="K35" s="552">
        <v>12450</v>
      </c>
      <c r="L35" s="552"/>
      <c r="M35" s="552">
        <v>7251188</v>
      </c>
      <c r="N35" s="552">
        <v>0</v>
      </c>
      <c r="O35" s="552"/>
      <c r="P35" s="552"/>
      <c r="Q35" s="552"/>
      <c r="R35" s="552">
        <v>9066487</v>
      </c>
      <c r="S35" s="460">
        <f t="shared" si="3"/>
        <v>16317675</v>
      </c>
      <c r="T35" s="461">
        <f t="shared" si="2"/>
        <v>1.5274862374955305</v>
      </c>
      <c r="U35" s="553">
        <f t="shared" si="7"/>
        <v>0</v>
      </c>
    </row>
    <row r="36" spans="1:21" s="474" customFormat="1" ht="24" customHeight="1">
      <c r="A36" s="465">
        <v>2</v>
      </c>
      <c r="B36" s="466" t="s">
        <v>459</v>
      </c>
      <c r="C36" s="477">
        <f>C37+C38+C39+C40</f>
        <v>63190923</v>
      </c>
      <c r="D36" s="477">
        <f>D37+D38+D39+D40</f>
        <v>62577302</v>
      </c>
      <c r="E36" s="477">
        <f aca="true" t="shared" si="10" ref="E36:R36">E37+E38+E39+E40</f>
        <v>613621</v>
      </c>
      <c r="F36" s="477">
        <f t="shared" si="10"/>
        <v>50488</v>
      </c>
      <c r="G36" s="477">
        <f t="shared" si="10"/>
        <v>0</v>
      </c>
      <c r="H36" s="614">
        <f t="shared" si="5"/>
        <v>63140435</v>
      </c>
      <c r="I36" s="614">
        <f t="shared" si="6"/>
        <v>58194747</v>
      </c>
      <c r="J36" s="477">
        <f t="shared" si="10"/>
        <v>1163664</v>
      </c>
      <c r="K36" s="477">
        <f t="shared" si="10"/>
        <v>13037</v>
      </c>
      <c r="L36" s="477">
        <f t="shared" si="10"/>
        <v>7392</v>
      </c>
      <c r="M36" s="477">
        <f t="shared" si="10"/>
        <v>56079130</v>
      </c>
      <c r="N36" s="477">
        <f t="shared" si="10"/>
        <v>0</v>
      </c>
      <c r="O36" s="477">
        <f t="shared" si="10"/>
        <v>0</v>
      </c>
      <c r="P36" s="477">
        <f t="shared" si="10"/>
        <v>0</v>
      </c>
      <c r="Q36" s="477">
        <f t="shared" si="10"/>
        <v>931524</v>
      </c>
      <c r="R36" s="477">
        <f t="shared" si="10"/>
        <v>4945688</v>
      </c>
      <c r="S36" s="602">
        <f t="shared" si="3"/>
        <v>61956342</v>
      </c>
      <c r="T36" s="453">
        <f t="shared" si="2"/>
        <v>2.0347077030852976</v>
      </c>
      <c r="U36" s="476">
        <f t="shared" si="7"/>
        <v>0</v>
      </c>
    </row>
    <row r="37" spans="1:21" s="554" customFormat="1" ht="24" customHeight="1">
      <c r="A37" s="549">
        <v>2.1</v>
      </c>
      <c r="B37" s="557" t="s">
        <v>460</v>
      </c>
      <c r="C37" s="558">
        <f>D37+E37</f>
        <v>519338</v>
      </c>
      <c r="D37" s="558">
        <v>458358</v>
      </c>
      <c r="E37" s="558">
        <v>60980</v>
      </c>
      <c r="F37" s="558">
        <v>932</v>
      </c>
      <c r="G37" s="558"/>
      <c r="H37" s="458">
        <f t="shared" si="5"/>
        <v>518406</v>
      </c>
      <c r="I37" s="458">
        <f t="shared" si="6"/>
        <v>283025</v>
      </c>
      <c r="J37" s="558">
        <v>77386</v>
      </c>
      <c r="K37" s="558">
        <v>880</v>
      </c>
      <c r="L37" s="558">
        <v>0</v>
      </c>
      <c r="M37" s="558">
        <v>204759</v>
      </c>
      <c r="N37" s="558"/>
      <c r="O37" s="558"/>
      <c r="P37" s="558"/>
      <c r="Q37" s="559"/>
      <c r="R37" s="560">
        <v>235381</v>
      </c>
      <c r="S37" s="460">
        <f t="shared" si="3"/>
        <v>440140</v>
      </c>
      <c r="T37" s="461">
        <f t="shared" si="2"/>
        <v>27.653387509937282</v>
      </c>
      <c r="U37" s="553">
        <f t="shared" si="7"/>
        <v>0</v>
      </c>
    </row>
    <row r="38" spans="1:21" s="554" customFormat="1" ht="24" customHeight="1">
      <c r="A38" s="549">
        <v>2.2</v>
      </c>
      <c r="B38" s="557" t="s">
        <v>461</v>
      </c>
      <c r="C38" s="558">
        <f>D38+E38</f>
        <v>10946316</v>
      </c>
      <c r="D38" s="558">
        <v>10761213</v>
      </c>
      <c r="E38" s="558">
        <v>185103</v>
      </c>
      <c r="F38" s="558">
        <v>49556</v>
      </c>
      <c r="G38" s="558"/>
      <c r="H38" s="458">
        <f t="shared" si="5"/>
        <v>10896760</v>
      </c>
      <c r="I38" s="458">
        <f t="shared" si="6"/>
        <v>9829099</v>
      </c>
      <c r="J38" s="558">
        <v>616812</v>
      </c>
      <c r="K38" s="558">
        <v>0</v>
      </c>
      <c r="L38" s="558">
        <v>1692</v>
      </c>
      <c r="M38" s="558">
        <v>8279071</v>
      </c>
      <c r="N38" s="558"/>
      <c r="O38" s="558"/>
      <c r="P38" s="558"/>
      <c r="Q38" s="559">
        <v>931524</v>
      </c>
      <c r="R38" s="560">
        <v>1067661</v>
      </c>
      <c r="S38" s="460">
        <f t="shared" si="3"/>
        <v>10278256</v>
      </c>
      <c r="T38" s="461">
        <f t="shared" si="2"/>
        <v>6.292580835740895</v>
      </c>
      <c r="U38" s="553">
        <f t="shared" si="7"/>
        <v>0</v>
      </c>
    </row>
    <row r="39" spans="1:21" s="554" customFormat="1" ht="24" customHeight="1">
      <c r="A39" s="549">
        <v>2.3</v>
      </c>
      <c r="B39" s="557" t="s">
        <v>462</v>
      </c>
      <c r="C39" s="558">
        <f>D39+E39</f>
        <v>51725269</v>
      </c>
      <c r="D39" s="558">
        <v>51357731</v>
      </c>
      <c r="E39" s="558">
        <v>367538</v>
      </c>
      <c r="F39" s="558"/>
      <c r="G39" s="558"/>
      <c r="H39" s="458">
        <f t="shared" si="5"/>
        <v>51725269</v>
      </c>
      <c r="I39" s="458">
        <f t="shared" si="6"/>
        <v>48082623</v>
      </c>
      <c r="J39" s="558">
        <v>469466</v>
      </c>
      <c r="K39" s="558">
        <v>12157</v>
      </c>
      <c r="L39" s="558">
        <v>5700</v>
      </c>
      <c r="M39" s="558">
        <v>47595300</v>
      </c>
      <c r="N39" s="558"/>
      <c r="O39" s="558"/>
      <c r="P39" s="558"/>
      <c r="Q39" s="559">
        <v>0</v>
      </c>
      <c r="R39" s="560">
        <v>3642646</v>
      </c>
      <c r="S39" s="460">
        <f t="shared" si="3"/>
        <v>51237946</v>
      </c>
      <c r="T39" s="461">
        <f t="shared" si="2"/>
        <v>1.0135116796768762</v>
      </c>
      <c r="U39" s="553">
        <f t="shared" si="7"/>
        <v>0</v>
      </c>
    </row>
    <row r="40" spans="1:21" s="554" customFormat="1" ht="24" customHeight="1">
      <c r="A40" s="549">
        <v>2.4</v>
      </c>
      <c r="B40" s="557" t="s">
        <v>463</v>
      </c>
      <c r="C40" s="558">
        <v>0</v>
      </c>
      <c r="D40" s="558">
        <v>0</v>
      </c>
      <c r="E40" s="558">
        <v>0</v>
      </c>
      <c r="F40" s="558">
        <v>0</v>
      </c>
      <c r="G40" s="558"/>
      <c r="H40" s="458">
        <f t="shared" si="5"/>
        <v>0</v>
      </c>
      <c r="I40" s="458">
        <f t="shared" si="6"/>
        <v>0</v>
      </c>
      <c r="J40" s="558">
        <v>0</v>
      </c>
      <c r="K40" s="558">
        <v>0</v>
      </c>
      <c r="L40" s="558"/>
      <c r="M40" s="558">
        <v>0</v>
      </c>
      <c r="N40" s="558"/>
      <c r="O40" s="558"/>
      <c r="P40" s="558"/>
      <c r="Q40" s="561"/>
      <c r="R40" s="560">
        <v>0</v>
      </c>
      <c r="S40" s="460">
        <f t="shared" si="3"/>
        <v>0</v>
      </c>
      <c r="T40" s="461" t="e">
        <f t="shared" si="2"/>
        <v>#DIV/0!</v>
      </c>
      <c r="U40" s="553">
        <f t="shared" si="7"/>
        <v>0</v>
      </c>
    </row>
    <row r="41" spans="1:21" s="474" customFormat="1" ht="24" customHeight="1">
      <c r="A41" s="465">
        <v>3</v>
      </c>
      <c r="B41" s="466" t="s">
        <v>464</v>
      </c>
      <c r="C41" s="475">
        <f>C42+C43</f>
        <v>32573232</v>
      </c>
      <c r="D41" s="475">
        <f aca="true" t="shared" si="11" ref="D41:R41">D42+D43</f>
        <v>30730101</v>
      </c>
      <c r="E41" s="475">
        <f t="shared" si="11"/>
        <v>1843131</v>
      </c>
      <c r="F41" s="475">
        <f t="shared" si="11"/>
        <v>0</v>
      </c>
      <c r="G41" s="475">
        <f t="shared" si="11"/>
        <v>0</v>
      </c>
      <c r="H41" s="614">
        <f t="shared" si="5"/>
        <v>32573232</v>
      </c>
      <c r="I41" s="614">
        <f t="shared" si="6"/>
        <v>30855154</v>
      </c>
      <c r="J41" s="475">
        <f t="shared" si="11"/>
        <v>520320</v>
      </c>
      <c r="K41" s="475">
        <f t="shared" si="11"/>
        <v>9669503</v>
      </c>
      <c r="L41" s="475">
        <f t="shared" si="11"/>
        <v>0</v>
      </c>
      <c r="M41" s="475">
        <f t="shared" si="11"/>
        <v>20592219</v>
      </c>
      <c r="N41" s="475">
        <f t="shared" si="11"/>
        <v>0</v>
      </c>
      <c r="O41" s="475">
        <f t="shared" si="11"/>
        <v>0</v>
      </c>
      <c r="P41" s="475">
        <f t="shared" si="11"/>
        <v>0</v>
      </c>
      <c r="Q41" s="475">
        <f t="shared" si="11"/>
        <v>73112</v>
      </c>
      <c r="R41" s="475">
        <f t="shared" si="11"/>
        <v>1718078</v>
      </c>
      <c r="S41" s="602">
        <f t="shared" si="3"/>
        <v>22383409</v>
      </c>
      <c r="T41" s="453">
        <f t="shared" si="2"/>
        <v>33.02470310146564</v>
      </c>
      <c r="U41" s="476">
        <f t="shared" si="7"/>
        <v>0</v>
      </c>
    </row>
    <row r="42" spans="1:21" s="554" customFormat="1" ht="24" customHeight="1">
      <c r="A42" s="549">
        <v>3.1</v>
      </c>
      <c r="B42" s="563" t="s">
        <v>465</v>
      </c>
      <c r="C42" s="562">
        <f>D42+E42</f>
        <v>23242299</v>
      </c>
      <c r="D42" s="562">
        <v>22511435</v>
      </c>
      <c r="E42" s="562">
        <v>730864</v>
      </c>
      <c r="F42" s="562"/>
      <c r="G42" s="562"/>
      <c r="H42" s="458">
        <f t="shared" si="5"/>
        <v>23242299</v>
      </c>
      <c r="I42" s="458">
        <f t="shared" si="6"/>
        <v>22985831</v>
      </c>
      <c r="J42" s="562">
        <v>55020</v>
      </c>
      <c r="K42" s="562">
        <v>9667753</v>
      </c>
      <c r="L42" s="562"/>
      <c r="M42" s="562">
        <v>13189946</v>
      </c>
      <c r="N42" s="562"/>
      <c r="O42" s="562">
        <v>0</v>
      </c>
      <c r="P42" s="562"/>
      <c r="Q42" s="562">
        <v>73112</v>
      </c>
      <c r="R42" s="564">
        <v>256468</v>
      </c>
      <c r="S42" s="460">
        <f t="shared" si="3"/>
        <v>13519526</v>
      </c>
      <c r="T42" s="461">
        <f t="shared" si="2"/>
        <v>42.29898410024854</v>
      </c>
      <c r="U42" s="553">
        <f t="shared" si="7"/>
        <v>0</v>
      </c>
    </row>
    <row r="43" spans="1:21" s="554" customFormat="1" ht="24" customHeight="1">
      <c r="A43" s="549">
        <v>3.2</v>
      </c>
      <c r="B43" s="563" t="s">
        <v>466</v>
      </c>
      <c r="C43" s="562">
        <f>D43+E43</f>
        <v>9330933</v>
      </c>
      <c r="D43" s="562">
        <v>8218666</v>
      </c>
      <c r="E43" s="562">
        <v>1112267</v>
      </c>
      <c r="F43" s="562">
        <v>0</v>
      </c>
      <c r="G43" s="562"/>
      <c r="H43" s="458">
        <f t="shared" si="5"/>
        <v>9330933</v>
      </c>
      <c r="I43" s="458">
        <f t="shared" si="6"/>
        <v>7869323</v>
      </c>
      <c r="J43" s="562">
        <v>465300</v>
      </c>
      <c r="K43" s="562">
        <v>1750</v>
      </c>
      <c r="L43" s="562"/>
      <c r="M43" s="562">
        <v>7402273</v>
      </c>
      <c r="N43" s="562"/>
      <c r="O43" s="562"/>
      <c r="P43" s="562"/>
      <c r="Q43" s="562"/>
      <c r="R43" s="564">
        <v>1461610</v>
      </c>
      <c r="S43" s="460">
        <f t="shared" si="3"/>
        <v>8863883</v>
      </c>
      <c r="T43" s="461">
        <f t="shared" si="2"/>
        <v>5.9350721783818</v>
      </c>
      <c r="U43" s="553">
        <f t="shared" si="7"/>
        <v>0</v>
      </c>
    </row>
    <row r="44" spans="1:21" s="474" customFormat="1" ht="24" customHeight="1">
      <c r="A44" s="465">
        <v>4</v>
      </c>
      <c r="B44" s="466" t="s">
        <v>467</v>
      </c>
      <c r="C44" s="477"/>
      <c r="D44" s="477"/>
      <c r="E44" s="477"/>
      <c r="F44" s="477"/>
      <c r="G44" s="477"/>
      <c r="H44" s="614">
        <f t="shared" si="5"/>
        <v>0</v>
      </c>
      <c r="I44" s="614">
        <f t="shared" si="6"/>
        <v>0</v>
      </c>
      <c r="J44" s="477"/>
      <c r="K44" s="477"/>
      <c r="L44" s="477"/>
      <c r="M44" s="477"/>
      <c r="N44" s="477"/>
      <c r="O44" s="477"/>
      <c r="P44" s="477"/>
      <c r="Q44" s="477"/>
      <c r="R44" s="477"/>
      <c r="S44" s="602">
        <f t="shared" si="3"/>
        <v>0</v>
      </c>
      <c r="T44" s="453" t="e">
        <f t="shared" si="2"/>
        <v>#DIV/0!</v>
      </c>
      <c r="U44" s="476">
        <f t="shared" si="7"/>
        <v>0</v>
      </c>
    </row>
    <row r="45" spans="1:21" s="554" customFormat="1" ht="24" customHeight="1">
      <c r="A45" s="549">
        <v>1</v>
      </c>
      <c r="B45" s="565" t="s">
        <v>468</v>
      </c>
      <c r="C45" s="556"/>
      <c r="D45" s="556"/>
      <c r="E45" s="556"/>
      <c r="F45" s="556"/>
      <c r="G45" s="556"/>
      <c r="H45" s="458">
        <f t="shared" si="5"/>
        <v>0</v>
      </c>
      <c r="I45" s="458">
        <f t="shared" si="6"/>
        <v>0</v>
      </c>
      <c r="J45" s="556"/>
      <c r="K45" s="556"/>
      <c r="L45" s="566"/>
      <c r="M45" s="566"/>
      <c r="N45" s="566"/>
      <c r="O45" s="567"/>
      <c r="P45" s="567"/>
      <c r="Q45" s="567"/>
      <c r="R45" s="567"/>
      <c r="S45" s="460">
        <f t="shared" si="3"/>
        <v>0</v>
      </c>
      <c r="T45" s="461" t="e">
        <f t="shared" si="2"/>
        <v>#DIV/0!</v>
      </c>
      <c r="U45" s="553">
        <f t="shared" si="7"/>
        <v>0</v>
      </c>
    </row>
    <row r="46" spans="1:21" s="554" customFormat="1" ht="24" customHeight="1">
      <c r="A46" s="549">
        <v>2</v>
      </c>
      <c r="B46" s="565" t="s">
        <v>469</v>
      </c>
      <c r="C46" s="556"/>
      <c r="D46" s="556"/>
      <c r="E46" s="556"/>
      <c r="F46" s="556"/>
      <c r="G46" s="556"/>
      <c r="H46" s="458">
        <f t="shared" si="5"/>
        <v>0</v>
      </c>
      <c r="I46" s="458">
        <f t="shared" si="6"/>
        <v>0</v>
      </c>
      <c r="J46" s="556"/>
      <c r="K46" s="556"/>
      <c r="L46" s="566"/>
      <c r="M46" s="566"/>
      <c r="N46" s="566"/>
      <c r="O46" s="567"/>
      <c r="P46" s="567"/>
      <c r="Q46" s="567"/>
      <c r="R46" s="567"/>
      <c r="S46" s="460">
        <f t="shared" si="3"/>
        <v>0</v>
      </c>
      <c r="T46" s="461" t="e">
        <f t="shared" si="2"/>
        <v>#DIV/0!</v>
      </c>
      <c r="U46" s="553">
        <f t="shared" si="7"/>
        <v>0</v>
      </c>
    </row>
    <row r="47" spans="1:21" s="474" customFormat="1" ht="24" customHeight="1">
      <c r="A47" s="465">
        <v>5</v>
      </c>
      <c r="B47" s="466" t="s">
        <v>470</v>
      </c>
      <c r="C47" s="473">
        <f aca="true" t="shared" si="12" ref="C47:R47">SUM(C48:C55)</f>
        <v>458753633</v>
      </c>
      <c r="D47" s="473">
        <f t="shared" si="12"/>
        <v>420361581</v>
      </c>
      <c r="E47" s="473">
        <f t="shared" si="12"/>
        <v>38392052</v>
      </c>
      <c r="F47" s="473">
        <f t="shared" si="12"/>
        <v>35630</v>
      </c>
      <c r="G47" s="473">
        <f t="shared" si="12"/>
        <v>0</v>
      </c>
      <c r="H47" s="614">
        <f t="shared" si="5"/>
        <v>458718003</v>
      </c>
      <c r="I47" s="614">
        <f t="shared" si="6"/>
        <v>197461794</v>
      </c>
      <c r="J47" s="473">
        <f t="shared" si="12"/>
        <v>7697101</v>
      </c>
      <c r="K47" s="473">
        <f t="shared" si="12"/>
        <v>24000</v>
      </c>
      <c r="L47" s="473">
        <f t="shared" si="12"/>
        <v>0</v>
      </c>
      <c r="M47" s="473">
        <f t="shared" si="12"/>
        <v>189208154</v>
      </c>
      <c r="N47" s="473">
        <f t="shared" si="12"/>
        <v>0</v>
      </c>
      <c r="O47" s="473">
        <f t="shared" si="12"/>
        <v>0</v>
      </c>
      <c r="P47" s="473">
        <f t="shared" si="12"/>
        <v>0</v>
      </c>
      <c r="Q47" s="473">
        <f t="shared" si="12"/>
        <v>532539</v>
      </c>
      <c r="R47" s="473">
        <f t="shared" si="12"/>
        <v>261256209</v>
      </c>
      <c r="S47" s="602">
        <f t="shared" si="3"/>
        <v>450996902</v>
      </c>
      <c r="T47" s="453">
        <f t="shared" si="2"/>
        <v>3.9101746437085443</v>
      </c>
      <c r="U47" s="476">
        <f t="shared" si="7"/>
        <v>0</v>
      </c>
    </row>
    <row r="48" spans="1:21" s="554" customFormat="1" ht="24" customHeight="1">
      <c r="A48" s="568" t="s">
        <v>111</v>
      </c>
      <c r="B48" s="512" t="s">
        <v>471</v>
      </c>
      <c r="C48" s="569">
        <f>D48+E48</f>
        <v>3494929</v>
      </c>
      <c r="D48" s="570">
        <v>3467529</v>
      </c>
      <c r="E48" s="569">
        <v>27400</v>
      </c>
      <c r="F48" s="569">
        <v>0</v>
      </c>
      <c r="G48" s="569">
        <v>0</v>
      </c>
      <c r="H48" s="458">
        <f t="shared" si="5"/>
        <v>3494929</v>
      </c>
      <c r="I48" s="458">
        <f t="shared" si="6"/>
        <v>3494929</v>
      </c>
      <c r="J48" s="569">
        <v>27400</v>
      </c>
      <c r="K48" s="569">
        <v>0</v>
      </c>
      <c r="L48" s="569">
        <v>0</v>
      </c>
      <c r="M48" s="571">
        <v>3467529</v>
      </c>
      <c r="N48" s="569">
        <v>0</v>
      </c>
      <c r="O48" s="569">
        <v>0</v>
      </c>
      <c r="P48" s="569">
        <v>0</v>
      </c>
      <c r="Q48" s="572">
        <v>0</v>
      </c>
      <c r="R48" s="572">
        <v>0</v>
      </c>
      <c r="S48" s="460">
        <f t="shared" si="3"/>
        <v>3467529</v>
      </c>
      <c r="T48" s="461">
        <f t="shared" si="2"/>
        <v>0.783993036768415</v>
      </c>
      <c r="U48" s="553">
        <f t="shared" si="7"/>
        <v>0</v>
      </c>
    </row>
    <row r="49" spans="1:21" s="554" customFormat="1" ht="24" customHeight="1">
      <c r="A49" s="568" t="s">
        <v>112</v>
      </c>
      <c r="B49" s="512" t="s">
        <v>472</v>
      </c>
      <c r="C49" s="569">
        <f aca="true" t="shared" si="13" ref="C49:C55">D49+E49</f>
        <v>289676253</v>
      </c>
      <c r="D49" s="570">
        <v>288298924</v>
      </c>
      <c r="E49" s="569">
        <v>1377329</v>
      </c>
      <c r="F49" s="569">
        <v>0</v>
      </c>
      <c r="G49" s="569">
        <v>0</v>
      </c>
      <c r="H49" s="458">
        <f t="shared" si="5"/>
        <v>289676253</v>
      </c>
      <c r="I49" s="458">
        <f t="shared" si="6"/>
        <v>59040164</v>
      </c>
      <c r="J49" s="569">
        <v>3015084</v>
      </c>
      <c r="K49" s="569">
        <v>0</v>
      </c>
      <c r="L49" s="569">
        <v>0</v>
      </c>
      <c r="M49" s="571">
        <v>55492541</v>
      </c>
      <c r="N49" s="569">
        <v>0</v>
      </c>
      <c r="O49" s="569">
        <v>0</v>
      </c>
      <c r="P49" s="569">
        <v>0</v>
      </c>
      <c r="Q49" s="572">
        <v>532539</v>
      </c>
      <c r="R49" s="572">
        <v>230636089</v>
      </c>
      <c r="S49" s="460">
        <f t="shared" si="3"/>
        <v>286661169</v>
      </c>
      <c r="T49" s="461">
        <f t="shared" si="2"/>
        <v>5.106835407842024</v>
      </c>
      <c r="U49" s="553">
        <f t="shared" si="7"/>
        <v>0</v>
      </c>
    </row>
    <row r="50" spans="1:21" s="554" customFormat="1" ht="24" customHeight="1">
      <c r="A50" s="568" t="s">
        <v>113</v>
      </c>
      <c r="B50" s="512" t="s">
        <v>583</v>
      </c>
      <c r="C50" s="569">
        <f t="shared" si="13"/>
        <v>44047100</v>
      </c>
      <c r="D50" s="570">
        <v>14045786</v>
      </c>
      <c r="E50" s="569">
        <v>30001314</v>
      </c>
      <c r="F50" s="569">
        <v>13645</v>
      </c>
      <c r="G50" s="569">
        <v>0</v>
      </c>
      <c r="H50" s="458">
        <f t="shared" si="5"/>
        <v>44033455</v>
      </c>
      <c r="I50" s="458">
        <f t="shared" si="6"/>
        <v>42425718</v>
      </c>
      <c r="J50" s="569">
        <v>28407</v>
      </c>
      <c r="K50" s="569">
        <v>0</v>
      </c>
      <c r="L50" s="569">
        <v>0</v>
      </c>
      <c r="M50" s="571">
        <v>42397311</v>
      </c>
      <c r="N50" s="569">
        <v>0</v>
      </c>
      <c r="O50" s="569">
        <v>0</v>
      </c>
      <c r="P50" s="569">
        <v>0</v>
      </c>
      <c r="Q50" s="572">
        <v>0</v>
      </c>
      <c r="R50" s="572">
        <v>1607737</v>
      </c>
      <c r="S50" s="460">
        <f t="shared" si="3"/>
        <v>44005048</v>
      </c>
      <c r="T50" s="461">
        <f t="shared" si="2"/>
        <v>0.0669570282817606</v>
      </c>
      <c r="U50" s="553">
        <f t="shared" si="7"/>
        <v>0</v>
      </c>
    </row>
    <row r="51" spans="1:21" s="554" customFormat="1" ht="24" customHeight="1">
      <c r="A51" s="568" t="s">
        <v>474</v>
      </c>
      <c r="B51" s="512" t="s">
        <v>475</v>
      </c>
      <c r="C51" s="569">
        <f t="shared" si="13"/>
        <v>17751302</v>
      </c>
      <c r="D51" s="570">
        <v>16214323</v>
      </c>
      <c r="E51" s="569">
        <v>1536979</v>
      </c>
      <c r="F51" s="569">
        <v>12535</v>
      </c>
      <c r="G51" s="569">
        <v>0</v>
      </c>
      <c r="H51" s="458">
        <f t="shared" si="5"/>
        <v>17738767</v>
      </c>
      <c r="I51" s="458">
        <f t="shared" si="6"/>
        <v>7195951</v>
      </c>
      <c r="J51" s="569">
        <v>4553436</v>
      </c>
      <c r="K51" s="569">
        <v>24000</v>
      </c>
      <c r="L51" s="569">
        <v>0</v>
      </c>
      <c r="M51" s="571">
        <v>2618515</v>
      </c>
      <c r="N51" s="569">
        <v>0</v>
      </c>
      <c r="O51" s="569">
        <v>0</v>
      </c>
      <c r="P51" s="569">
        <v>0</v>
      </c>
      <c r="Q51" s="572">
        <v>0</v>
      </c>
      <c r="R51" s="572">
        <v>10542816</v>
      </c>
      <c r="S51" s="460">
        <f t="shared" si="3"/>
        <v>13161331</v>
      </c>
      <c r="T51" s="461">
        <f t="shared" si="2"/>
        <v>63.611272505885594</v>
      </c>
      <c r="U51" s="553">
        <f t="shared" si="7"/>
        <v>0</v>
      </c>
    </row>
    <row r="52" spans="1:21" s="554" customFormat="1" ht="24" customHeight="1">
      <c r="A52" s="568" t="s">
        <v>476</v>
      </c>
      <c r="B52" s="512" t="s">
        <v>477</v>
      </c>
      <c r="C52" s="569">
        <f t="shared" si="13"/>
        <v>38253878</v>
      </c>
      <c r="D52" s="570">
        <v>37827593</v>
      </c>
      <c r="E52" s="569">
        <v>426285</v>
      </c>
      <c r="F52" s="569">
        <v>0</v>
      </c>
      <c r="G52" s="569">
        <v>0</v>
      </c>
      <c r="H52" s="458">
        <f t="shared" si="5"/>
        <v>38253878</v>
      </c>
      <c r="I52" s="458">
        <f t="shared" si="6"/>
        <v>34058591</v>
      </c>
      <c r="J52" s="569">
        <v>14030</v>
      </c>
      <c r="K52" s="569">
        <v>0</v>
      </c>
      <c r="L52" s="569">
        <v>0</v>
      </c>
      <c r="M52" s="571">
        <v>34044561</v>
      </c>
      <c r="N52" s="569">
        <v>0</v>
      </c>
      <c r="O52" s="569">
        <v>0</v>
      </c>
      <c r="P52" s="569">
        <v>0</v>
      </c>
      <c r="Q52" s="572">
        <v>0</v>
      </c>
      <c r="R52" s="572">
        <v>4195287</v>
      </c>
      <c r="S52" s="460">
        <f t="shared" si="3"/>
        <v>38239848</v>
      </c>
      <c r="T52" s="461">
        <f t="shared" si="2"/>
        <v>0.04119371820167194</v>
      </c>
      <c r="U52" s="553">
        <f t="shared" si="7"/>
        <v>0</v>
      </c>
    </row>
    <row r="53" spans="1:21" s="554" customFormat="1" ht="24" customHeight="1">
      <c r="A53" s="568" t="s">
        <v>478</v>
      </c>
      <c r="B53" s="512" t="s">
        <v>479</v>
      </c>
      <c r="C53" s="569">
        <f t="shared" si="13"/>
        <v>30989183</v>
      </c>
      <c r="D53" s="570">
        <v>26340654</v>
      </c>
      <c r="E53" s="569">
        <v>4648529</v>
      </c>
      <c r="F53" s="569">
        <v>9450</v>
      </c>
      <c r="G53" s="569">
        <v>0</v>
      </c>
      <c r="H53" s="458">
        <f t="shared" si="5"/>
        <v>30979733</v>
      </c>
      <c r="I53" s="458">
        <f t="shared" si="6"/>
        <v>20784651</v>
      </c>
      <c r="J53" s="569">
        <v>24000</v>
      </c>
      <c r="K53" s="569">
        <v>0</v>
      </c>
      <c r="L53" s="569">
        <v>0</v>
      </c>
      <c r="M53" s="571">
        <v>20760651</v>
      </c>
      <c r="N53" s="569">
        <v>0</v>
      </c>
      <c r="O53" s="569">
        <v>0</v>
      </c>
      <c r="P53" s="569">
        <v>0</v>
      </c>
      <c r="Q53" s="572">
        <v>0</v>
      </c>
      <c r="R53" s="572">
        <v>10195082</v>
      </c>
      <c r="S53" s="460">
        <f t="shared" si="3"/>
        <v>30955733</v>
      </c>
      <c r="T53" s="461">
        <f t="shared" si="2"/>
        <v>0.11546982434297308</v>
      </c>
      <c r="U53" s="553">
        <f t="shared" si="7"/>
        <v>0</v>
      </c>
    </row>
    <row r="54" spans="1:21" s="554" customFormat="1" ht="24" customHeight="1">
      <c r="A54" s="568" t="s">
        <v>480</v>
      </c>
      <c r="B54" s="512" t="s">
        <v>481</v>
      </c>
      <c r="C54" s="569">
        <f t="shared" si="13"/>
        <v>33213891</v>
      </c>
      <c r="D54" s="570">
        <v>32865571</v>
      </c>
      <c r="E54" s="569">
        <v>348320</v>
      </c>
      <c r="F54" s="569">
        <v>0</v>
      </c>
      <c r="G54" s="569">
        <v>0</v>
      </c>
      <c r="H54" s="458">
        <f t="shared" si="5"/>
        <v>33213891</v>
      </c>
      <c r="I54" s="458">
        <f t="shared" si="6"/>
        <v>30375176</v>
      </c>
      <c r="J54" s="569">
        <v>27615</v>
      </c>
      <c r="K54" s="569">
        <v>0</v>
      </c>
      <c r="L54" s="569">
        <v>0</v>
      </c>
      <c r="M54" s="571">
        <v>30347561</v>
      </c>
      <c r="N54" s="569">
        <v>0</v>
      </c>
      <c r="O54" s="569">
        <v>0</v>
      </c>
      <c r="P54" s="569">
        <v>0</v>
      </c>
      <c r="Q54" s="572">
        <v>0</v>
      </c>
      <c r="R54" s="572">
        <v>2838715</v>
      </c>
      <c r="S54" s="460">
        <f t="shared" si="3"/>
        <v>33186276</v>
      </c>
      <c r="T54" s="461">
        <f t="shared" si="2"/>
        <v>0.09091305347498234</v>
      </c>
      <c r="U54" s="553">
        <f t="shared" si="7"/>
        <v>0</v>
      </c>
    </row>
    <row r="55" spans="1:21" s="554" customFormat="1" ht="24" customHeight="1">
      <c r="A55" s="568" t="s">
        <v>482</v>
      </c>
      <c r="B55" s="512" t="s">
        <v>483</v>
      </c>
      <c r="C55" s="569">
        <f t="shared" si="13"/>
        <v>1327097</v>
      </c>
      <c r="D55" s="570">
        <v>1301201</v>
      </c>
      <c r="E55" s="569">
        <v>25896</v>
      </c>
      <c r="F55" s="569">
        <v>0</v>
      </c>
      <c r="G55" s="569">
        <v>0</v>
      </c>
      <c r="H55" s="458">
        <f t="shared" si="5"/>
        <v>1327097</v>
      </c>
      <c r="I55" s="458">
        <f t="shared" si="6"/>
        <v>86614</v>
      </c>
      <c r="J55" s="569">
        <v>7129</v>
      </c>
      <c r="K55" s="569">
        <v>0</v>
      </c>
      <c r="L55" s="569">
        <v>0</v>
      </c>
      <c r="M55" s="571">
        <v>79485</v>
      </c>
      <c r="N55" s="569">
        <v>0</v>
      </c>
      <c r="O55" s="569">
        <v>0</v>
      </c>
      <c r="P55" s="569">
        <v>0</v>
      </c>
      <c r="Q55" s="572">
        <v>0</v>
      </c>
      <c r="R55" s="572">
        <v>1240483</v>
      </c>
      <c r="S55" s="460">
        <f t="shared" si="3"/>
        <v>1319968</v>
      </c>
      <c r="T55" s="461">
        <f t="shared" si="2"/>
        <v>8.230771006996559</v>
      </c>
      <c r="U55" s="553">
        <f t="shared" si="7"/>
        <v>0</v>
      </c>
    </row>
    <row r="56" spans="1:21" s="474" customFormat="1" ht="24" customHeight="1">
      <c r="A56" s="465">
        <v>6</v>
      </c>
      <c r="B56" s="466" t="s">
        <v>484</v>
      </c>
      <c r="C56" s="479">
        <f>SUM(C57:C60)</f>
        <v>555848886</v>
      </c>
      <c r="D56" s="479">
        <f aca="true" t="shared" si="14" ref="D56:R56">SUM(D57:D60)</f>
        <v>496970370</v>
      </c>
      <c r="E56" s="479">
        <f t="shared" si="14"/>
        <v>58878516</v>
      </c>
      <c r="F56" s="479">
        <f t="shared" si="14"/>
        <v>5950</v>
      </c>
      <c r="G56" s="479">
        <f t="shared" si="14"/>
        <v>0</v>
      </c>
      <c r="H56" s="614">
        <f t="shared" si="5"/>
        <v>555842936</v>
      </c>
      <c r="I56" s="614">
        <f t="shared" si="6"/>
        <v>92332654</v>
      </c>
      <c r="J56" s="479">
        <f t="shared" si="14"/>
        <v>944964</v>
      </c>
      <c r="K56" s="479">
        <f t="shared" si="14"/>
        <v>1045078</v>
      </c>
      <c r="L56" s="479">
        <f t="shared" si="14"/>
        <v>4300</v>
      </c>
      <c r="M56" s="479">
        <f t="shared" si="14"/>
        <v>89990359</v>
      </c>
      <c r="N56" s="479">
        <f t="shared" si="14"/>
        <v>347953</v>
      </c>
      <c r="O56" s="479">
        <f t="shared" si="14"/>
        <v>0</v>
      </c>
      <c r="P56" s="479">
        <f t="shared" si="14"/>
        <v>0</v>
      </c>
      <c r="Q56" s="479">
        <f t="shared" si="14"/>
        <v>0</v>
      </c>
      <c r="R56" s="479">
        <f t="shared" si="14"/>
        <v>463510282</v>
      </c>
      <c r="S56" s="602">
        <f t="shared" si="3"/>
        <v>553848594</v>
      </c>
      <c r="T56" s="453">
        <f t="shared" si="2"/>
        <v>2.1599530757558423</v>
      </c>
      <c r="U56" s="476">
        <f>C56-F56-H56</f>
        <v>0</v>
      </c>
    </row>
    <row r="57" spans="1:21" s="554" customFormat="1" ht="24" customHeight="1">
      <c r="A57" s="549" t="s">
        <v>591</v>
      </c>
      <c r="B57" s="563" t="s">
        <v>485</v>
      </c>
      <c r="C57" s="562">
        <f>D57+E57</f>
        <v>453814512</v>
      </c>
      <c r="D57" s="562">
        <v>403997817</v>
      </c>
      <c r="E57" s="562">
        <v>49816695</v>
      </c>
      <c r="F57" s="562"/>
      <c r="G57" s="562"/>
      <c r="H57" s="458">
        <f t="shared" si="5"/>
        <v>453814512</v>
      </c>
      <c r="I57" s="458">
        <f t="shared" si="6"/>
        <v>64397577</v>
      </c>
      <c r="J57" s="573">
        <v>406892</v>
      </c>
      <c r="K57" s="562"/>
      <c r="L57" s="562"/>
      <c r="M57" s="562">
        <v>63990685</v>
      </c>
      <c r="N57" s="574"/>
      <c r="O57" s="574"/>
      <c r="P57" s="574"/>
      <c r="Q57" s="574"/>
      <c r="R57" s="575">
        <v>389416935</v>
      </c>
      <c r="S57" s="460">
        <f t="shared" si="3"/>
        <v>453407620</v>
      </c>
      <c r="T57" s="461">
        <f t="shared" si="2"/>
        <v>0.6318436484031068</v>
      </c>
      <c r="U57" s="553">
        <f>C57-F57-H57</f>
        <v>0</v>
      </c>
    </row>
    <row r="58" spans="1:21" s="554" customFormat="1" ht="24" customHeight="1">
      <c r="A58" s="549" t="s">
        <v>592</v>
      </c>
      <c r="B58" s="563" t="s">
        <v>486</v>
      </c>
      <c r="C58" s="562">
        <f>D58+E58</f>
        <v>4649662</v>
      </c>
      <c r="D58" s="562">
        <v>4038042</v>
      </c>
      <c r="E58" s="562">
        <v>611620</v>
      </c>
      <c r="F58" s="562"/>
      <c r="G58" s="562"/>
      <c r="H58" s="458">
        <f t="shared" si="5"/>
        <v>4649662</v>
      </c>
      <c r="I58" s="458">
        <f t="shared" si="6"/>
        <v>3606239</v>
      </c>
      <c r="J58" s="562">
        <v>45368</v>
      </c>
      <c r="K58" s="562"/>
      <c r="L58" s="562"/>
      <c r="M58" s="562">
        <v>3560871</v>
      </c>
      <c r="N58" s="574">
        <v>0</v>
      </c>
      <c r="O58" s="574"/>
      <c r="P58" s="574"/>
      <c r="Q58" s="574"/>
      <c r="R58" s="574">
        <v>1043423</v>
      </c>
      <c r="S58" s="460">
        <f t="shared" si="3"/>
        <v>4604294</v>
      </c>
      <c r="T58" s="461">
        <f t="shared" si="2"/>
        <v>1.2580419656046091</v>
      </c>
      <c r="U58" s="553">
        <f>C58-F58-H58</f>
        <v>0</v>
      </c>
    </row>
    <row r="59" spans="1:21" s="554" customFormat="1" ht="24" customHeight="1">
      <c r="A59" s="549" t="s">
        <v>593</v>
      </c>
      <c r="B59" s="563" t="s">
        <v>487</v>
      </c>
      <c r="C59" s="562">
        <f>D59+E59</f>
        <v>84791888</v>
      </c>
      <c r="D59" s="562">
        <v>78129210</v>
      </c>
      <c r="E59" s="562">
        <v>6662678</v>
      </c>
      <c r="F59" s="562">
        <v>5950</v>
      </c>
      <c r="G59" s="562"/>
      <c r="H59" s="458">
        <f t="shared" si="5"/>
        <v>84785938</v>
      </c>
      <c r="I59" s="458">
        <f t="shared" si="6"/>
        <v>13610577</v>
      </c>
      <c r="J59" s="562">
        <v>386166</v>
      </c>
      <c r="K59" s="562"/>
      <c r="L59" s="562"/>
      <c r="M59" s="562">
        <v>13096460</v>
      </c>
      <c r="N59" s="574">
        <v>127951</v>
      </c>
      <c r="O59" s="574"/>
      <c r="P59" s="574"/>
      <c r="Q59" s="574"/>
      <c r="R59" s="574">
        <v>71175361</v>
      </c>
      <c r="S59" s="460">
        <f t="shared" si="3"/>
        <v>84399772</v>
      </c>
      <c r="T59" s="461">
        <f t="shared" si="2"/>
        <v>2.8372492951621373</v>
      </c>
      <c r="U59" s="553">
        <f>C59-F59-H59</f>
        <v>0</v>
      </c>
    </row>
    <row r="60" spans="1:21" s="554" customFormat="1" ht="23.25" customHeight="1">
      <c r="A60" s="549" t="s">
        <v>594</v>
      </c>
      <c r="B60" s="563" t="s">
        <v>575</v>
      </c>
      <c r="C60" s="562">
        <f>D60+E60</f>
        <v>12592824</v>
      </c>
      <c r="D60" s="562">
        <v>10805301</v>
      </c>
      <c r="E60" s="562">
        <v>1787523</v>
      </c>
      <c r="F60" s="562"/>
      <c r="G60" s="562"/>
      <c r="H60" s="458">
        <f t="shared" si="5"/>
        <v>12592824</v>
      </c>
      <c r="I60" s="458">
        <f t="shared" si="6"/>
        <v>10718261</v>
      </c>
      <c r="J60" s="562">
        <v>106538</v>
      </c>
      <c r="K60" s="562">
        <v>1045078</v>
      </c>
      <c r="L60" s="562">
        <v>4300</v>
      </c>
      <c r="M60" s="562">
        <v>9342343</v>
      </c>
      <c r="N60" s="574">
        <v>220002</v>
      </c>
      <c r="O60" s="574"/>
      <c r="P60" s="574"/>
      <c r="Q60" s="574"/>
      <c r="R60" s="574">
        <v>1874563</v>
      </c>
      <c r="S60" s="460">
        <f t="shared" si="3"/>
        <v>11436908</v>
      </c>
      <c r="T60" s="461">
        <f t="shared" si="2"/>
        <v>10.784547978445385</v>
      </c>
      <c r="U60" s="553">
        <f t="shared" si="7"/>
        <v>0</v>
      </c>
    </row>
    <row r="61" spans="1:21" s="474" customFormat="1" ht="24" customHeight="1">
      <c r="A61" s="467">
        <v>7</v>
      </c>
      <c r="B61" s="468" t="s">
        <v>532</v>
      </c>
      <c r="C61" s="477">
        <f aca="true" t="shared" si="15" ref="C61:R61">SUM(C62:C67)</f>
        <v>345186419</v>
      </c>
      <c r="D61" s="477">
        <f t="shared" si="15"/>
        <v>275533507</v>
      </c>
      <c r="E61" s="477">
        <f t="shared" si="15"/>
        <v>69652912</v>
      </c>
      <c r="F61" s="477">
        <f t="shared" si="15"/>
        <v>2874080</v>
      </c>
      <c r="G61" s="477">
        <f t="shared" si="15"/>
        <v>9220570</v>
      </c>
      <c r="H61" s="614">
        <f t="shared" si="5"/>
        <v>342312339</v>
      </c>
      <c r="I61" s="614">
        <f t="shared" si="6"/>
        <v>298405775</v>
      </c>
      <c r="J61" s="477">
        <f t="shared" si="15"/>
        <v>8318158</v>
      </c>
      <c r="K61" s="477">
        <f t="shared" si="15"/>
        <v>213112</v>
      </c>
      <c r="L61" s="477">
        <f t="shared" si="15"/>
        <v>0</v>
      </c>
      <c r="M61" s="477">
        <f t="shared" si="15"/>
        <v>285407505</v>
      </c>
      <c r="N61" s="477">
        <f t="shared" si="15"/>
        <v>0</v>
      </c>
      <c r="O61" s="477">
        <f t="shared" si="15"/>
        <v>4466200</v>
      </c>
      <c r="P61" s="477">
        <f t="shared" si="15"/>
        <v>0</v>
      </c>
      <c r="Q61" s="477">
        <f t="shared" si="15"/>
        <v>800</v>
      </c>
      <c r="R61" s="477">
        <f t="shared" si="15"/>
        <v>43906564</v>
      </c>
      <c r="S61" s="602">
        <f t="shared" si="3"/>
        <v>333781069</v>
      </c>
      <c r="T61" s="453">
        <f t="shared" si="2"/>
        <v>2.8589493618211645</v>
      </c>
      <c r="U61" s="476">
        <f t="shared" si="7"/>
        <v>0</v>
      </c>
    </row>
    <row r="62" spans="1:21" s="554" customFormat="1" ht="24" customHeight="1">
      <c r="A62" s="568" t="s">
        <v>43</v>
      </c>
      <c r="B62" s="576" t="s">
        <v>488</v>
      </c>
      <c r="C62" s="603">
        <f aca="true" t="shared" si="16" ref="C62:C67">D62+E62</f>
        <v>54538582</v>
      </c>
      <c r="D62" s="603">
        <v>53125765</v>
      </c>
      <c r="E62" s="603">
        <v>1412817</v>
      </c>
      <c r="F62" s="603"/>
      <c r="G62" s="603"/>
      <c r="H62" s="458">
        <f t="shared" si="5"/>
        <v>54538582</v>
      </c>
      <c r="I62" s="458">
        <f t="shared" si="6"/>
        <v>47989591</v>
      </c>
      <c r="J62" s="603">
        <v>1800</v>
      </c>
      <c r="K62" s="603">
        <v>180000</v>
      </c>
      <c r="L62" s="603"/>
      <c r="M62" s="603">
        <v>47807791</v>
      </c>
      <c r="N62" s="603"/>
      <c r="O62" s="603"/>
      <c r="P62" s="603"/>
      <c r="Q62" s="604"/>
      <c r="R62" s="605">
        <v>6548991</v>
      </c>
      <c r="S62" s="460">
        <f t="shared" si="3"/>
        <v>54356782</v>
      </c>
      <c r="T62" s="461">
        <f t="shared" si="2"/>
        <v>0.3788321513304833</v>
      </c>
      <c r="U62" s="553">
        <f t="shared" si="7"/>
        <v>0</v>
      </c>
    </row>
    <row r="63" spans="1:21" s="554" customFormat="1" ht="24" customHeight="1">
      <c r="A63" s="568" t="s">
        <v>44</v>
      </c>
      <c r="B63" s="576" t="s">
        <v>489</v>
      </c>
      <c r="C63" s="603">
        <f t="shared" si="16"/>
        <v>61194733</v>
      </c>
      <c r="D63" s="606">
        <v>61025167</v>
      </c>
      <c r="E63" s="606">
        <v>169566</v>
      </c>
      <c r="F63" s="603">
        <v>200</v>
      </c>
      <c r="G63" s="606">
        <v>0</v>
      </c>
      <c r="H63" s="458">
        <f t="shared" si="5"/>
        <v>61194533</v>
      </c>
      <c r="I63" s="458">
        <f t="shared" si="6"/>
        <v>60014039</v>
      </c>
      <c r="J63" s="606">
        <v>47713</v>
      </c>
      <c r="K63" s="606">
        <v>11775</v>
      </c>
      <c r="L63" s="606">
        <v>0</v>
      </c>
      <c r="M63" s="606">
        <v>55487551</v>
      </c>
      <c r="N63" s="606">
        <v>0</v>
      </c>
      <c r="O63" s="606">
        <v>4466200</v>
      </c>
      <c r="P63" s="606">
        <v>0</v>
      </c>
      <c r="Q63" s="607">
        <v>800</v>
      </c>
      <c r="R63" s="608">
        <v>1180494</v>
      </c>
      <c r="S63" s="460">
        <f t="shared" si="3"/>
        <v>61135045</v>
      </c>
      <c r="T63" s="461">
        <f t="shared" si="2"/>
        <v>0.09912347342594288</v>
      </c>
      <c r="U63" s="553">
        <f t="shared" si="7"/>
        <v>0</v>
      </c>
    </row>
    <row r="64" spans="1:21" s="554" customFormat="1" ht="24" customHeight="1">
      <c r="A64" s="568" t="s">
        <v>47</v>
      </c>
      <c r="B64" s="576" t="s">
        <v>548</v>
      </c>
      <c r="C64" s="603">
        <f t="shared" si="16"/>
        <v>21586921</v>
      </c>
      <c r="D64" s="603">
        <v>20417204</v>
      </c>
      <c r="E64" s="603">
        <v>1169717</v>
      </c>
      <c r="F64" s="603">
        <v>278352</v>
      </c>
      <c r="G64" s="603"/>
      <c r="H64" s="458">
        <f t="shared" si="5"/>
        <v>21308569</v>
      </c>
      <c r="I64" s="458">
        <f t="shared" si="6"/>
        <v>13728348</v>
      </c>
      <c r="J64" s="603">
        <v>932035</v>
      </c>
      <c r="K64" s="603">
        <v>9406</v>
      </c>
      <c r="L64" s="603"/>
      <c r="M64" s="603">
        <v>12786907</v>
      </c>
      <c r="N64" s="603"/>
      <c r="O64" s="603"/>
      <c r="P64" s="603"/>
      <c r="Q64" s="604">
        <v>0</v>
      </c>
      <c r="R64" s="605">
        <v>7580221</v>
      </c>
      <c r="S64" s="460">
        <f t="shared" si="3"/>
        <v>20367128</v>
      </c>
      <c r="T64" s="461">
        <f t="shared" si="2"/>
        <v>6.857642303356529</v>
      </c>
      <c r="U64" s="553">
        <f t="shared" si="7"/>
        <v>0</v>
      </c>
    </row>
    <row r="65" spans="1:21" s="554" customFormat="1" ht="24" customHeight="1">
      <c r="A65" s="568" t="s">
        <v>56</v>
      </c>
      <c r="B65" s="576" t="s">
        <v>491</v>
      </c>
      <c r="C65" s="603">
        <f t="shared" si="16"/>
        <v>34967701</v>
      </c>
      <c r="D65" s="609">
        <v>30361111</v>
      </c>
      <c r="E65" s="603">
        <v>4606590</v>
      </c>
      <c r="F65" s="603">
        <v>60000</v>
      </c>
      <c r="G65" s="603"/>
      <c r="H65" s="458">
        <f t="shared" si="5"/>
        <v>34907701</v>
      </c>
      <c r="I65" s="458">
        <f t="shared" si="6"/>
        <v>15137552</v>
      </c>
      <c r="J65" s="603">
        <v>5455732</v>
      </c>
      <c r="K65" s="603">
        <v>2610</v>
      </c>
      <c r="L65" s="603"/>
      <c r="M65" s="603">
        <v>9679210</v>
      </c>
      <c r="N65" s="603"/>
      <c r="O65" s="603"/>
      <c r="P65" s="603"/>
      <c r="Q65" s="604">
        <v>0</v>
      </c>
      <c r="R65" s="605">
        <v>19770149</v>
      </c>
      <c r="S65" s="460">
        <f t="shared" si="3"/>
        <v>29449359</v>
      </c>
      <c r="T65" s="461">
        <f t="shared" si="2"/>
        <v>36.05828736376925</v>
      </c>
      <c r="U65" s="553">
        <f t="shared" si="7"/>
        <v>0</v>
      </c>
    </row>
    <row r="66" spans="1:21" s="554" customFormat="1" ht="24" customHeight="1">
      <c r="A66" s="568" t="s">
        <v>57</v>
      </c>
      <c r="B66" s="576" t="s">
        <v>492</v>
      </c>
      <c r="C66" s="603">
        <f t="shared" si="16"/>
        <v>106314904</v>
      </c>
      <c r="D66" s="603">
        <f>81006719-495+497</f>
        <v>81006721</v>
      </c>
      <c r="E66" s="610">
        <v>25308183</v>
      </c>
      <c r="F66" s="603"/>
      <c r="G66" s="603"/>
      <c r="H66" s="458">
        <f t="shared" si="5"/>
        <v>106314904</v>
      </c>
      <c r="I66" s="458">
        <f t="shared" si="6"/>
        <v>100086786</v>
      </c>
      <c r="J66" s="603">
        <v>1580457</v>
      </c>
      <c r="K66" s="603"/>
      <c r="L66" s="603"/>
      <c r="M66" s="603">
        <f>98406264+99568+497</f>
        <v>98506329</v>
      </c>
      <c r="N66" s="603"/>
      <c r="O66" s="603"/>
      <c r="P66" s="603"/>
      <c r="Q66" s="604">
        <v>0</v>
      </c>
      <c r="R66" s="605">
        <v>6228118</v>
      </c>
      <c r="S66" s="460">
        <f t="shared" si="3"/>
        <v>104734447</v>
      </c>
      <c r="T66" s="461">
        <f t="shared" si="2"/>
        <v>1.5790865739259525</v>
      </c>
      <c r="U66" s="553">
        <f t="shared" si="7"/>
        <v>0</v>
      </c>
    </row>
    <row r="67" spans="1:21" s="554" customFormat="1" ht="24" customHeight="1">
      <c r="A67" s="568" t="s">
        <v>58</v>
      </c>
      <c r="B67" s="576" t="s">
        <v>493</v>
      </c>
      <c r="C67" s="603">
        <f t="shared" si="16"/>
        <v>66583578</v>
      </c>
      <c r="D67" s="603">
        <f>29598036-497</f>
        <v>29597539</v>
      </c>
      <c r="E67" s="603">
        <v>36986039</v>
      </c>
      <c r="F67" s="603">
        <v>2535528</v>
      </c>
      <c r="G67" s="586">
        <v>9220570</v>
      </c>
      <c r="H67" s="458">
        <f t="shared" si="5"/>
        <v>64048050</v>
      </c>
      <c r="I67" s="458">
        <f t="shared" si="6"/>
        <v>61449459</v>
      </c>
      <c r="J67" s="603">
        <v>300421</v>
      </c>
      <c r="K67" s="603">
        <v>9321</v>
      </c>
      <c r="L67" s="603"/>
      <c r="M67" s="603">
        <f>61140214-497</f>
        <v>61139717</v>
      </c>
      <c r="N67" s="603"/>
      <c r="O67" s="603"/>
      <c r="P67" s="603"/>
      <c r="Q67" s="604">
        <v>0</v>
      </c>
      <c r="R67" s="605">
        <v>2598591</v>
      </c>
      <c r="S67" s="460">
        <f t="shared" si="3"/>
        <v>63738308</v>
      </c>
      <c r="T67" s="461">
        <f t="shared" si="2"/>
        <v>0.504059767230823</v>
      </c>
      <c r="U67" s="553">
        <f t="shared" si="7"/>
        <v>0</v>
      </c>
    </row>
    <row r="68" spans="1:21" s="474" customFormat="1" ht="24" customHeight="1">
      <c r="A68" s="465">
        <v>8</v>
      </c>
      <c r="B68" s="466" t="s">
        <v>494</v>
      </c>
      <c r="C68" s="480">
        <f>C69+C70+C71</f>
        <v>43811234</v>
      </c>
      <c r="D68" s="480">
        <f aca="true" t="shared" si="17" ref="D68:R68">D69+D70+D71</f>
        <v>38852964</v>
      </c>
      <c r="E68" s="480">
        <f t="shared" si="17"/>
        <v>4958270</v>
      </c>
      <c r="F68" s="480">
        <f t="shared" si="17"/>
        <v>87793</v>
      </c>
      <c r="G68" s="480">
        <f t="shared" si="17"/>
        <v>1</v>
      </c>
      <c r="H68" s="614">
        <f t="shared" si="5"/>
        <v>43723441</v>
      </c>
      <c r="I68" s="614">
        <f t="shared" si="6"/>
        <v>31485717</v>
      </c>
      <c r="J68" s="480">
        <f t="shared" si="17"/>
        <v>3435379</v>
      </c>
      <c r="K68" s="480">
        <f t="shared" si="17"/>
        <v>0</v>
      </c>
      <c r="L68" s="480">
        <f t="shared" si="17"/>
        <v>0</v>
      </c>
      <c r="M68" s="480">
        <f t="shared" si="17"/>
        <v>28049730</v>
      </c>
      <c r="N68" s="480">
        <f t="shared" si="17"/>
        <v>0</v>
      </c>
      <c r="O68" s="480">
        <f t="shared" si="17"/>
        <v>608</v>
      </c>
      <c r="P68" s="480">
        <f t="shared" si="17"/>
        <v>0</v>
      </c>
      <c r="Q68" s="480">
        <f t="shared" si="17"/>
        <v>0</v>
      </c>
      <c r="R68" s="480">
        <f t="shared" si="17"/>
        <v>12237724</v>
      </c>
      <c r="S68" s="602">
        <f t="shared" si="3"/>
        <v>40288062</v>
      </c>
      <c r="T68" s="453">
        <f t="shared" si="2"/>
        <v>10.910912398787044</v>
      </c>
      <c r="U68" s="476"/>
    </row>
    <row r="69" spans="1:21" s="554" customFormat="1" ht="24" customHeight="1">
      <c r="A69" s="568" t="s">
        <v>495</v>
      </c>
      <c r="B69" s="565" t="s">
        <v>496</v>
      </c>
      <c r="C69" s="580">
        <f>D69+E69</f>
        <v>3351439</v>
      </c>
      <c r="D69" s="580">
        <v>2823439</v>
      </c>
      <c r="E69" s="580">
        <v>528000</v>
      </c>
      <c r="F69" s="580">
        <v>84593</v>
      </c>
      <c r="G69" s="580"/>
      <c r="H69" s="458">
        <f t="shared" si="5"/>
        <v>3266846</v>
      </c>
      <c r="I69" s="458">
        <f t="shared" si="6"/>
        <v>2587255</v>
      </c>
      <c r="J69" s="580">
        <v>518129</v>
      </c>
      <c r="K69" s="580">
        <v>0</v>
      </c>
      <c r="L69" s="580"/>
      <c r="M69" s="580">
        <v>2069126</v>
      </c>
      <c r="N69" s="580"/>
      <c r="O69" s="580"/>
      <c r="P69" s="580"/>
      <c r="Q69" s="580"/>
      <c r="R69" s="580">
        <v>679591</v>
      </c>
      <c r="S69" s="460">
        <f t="shared" si="3"/>
        <v>2748717</v>
      </c>
      <c r="T69" s="461">
        <f t="shared" si="2"/>
        <v>20.02620537983307</v>
      </c>
      <c r="U69" s="553">
        <f t="shared" si="7"/>
        <v>0</v>
      </c>
    </row>
    <row r="70" spans="1:21" s="554" customFormat="1" ht="24" customHeight="1">
      <c r="A70" s="568" t="s">
        <v>497</v>
      </c>
      <c r="B70" s="565" t="s">
        <v>498</v>
      </c>
      <c r="C70" s="580">
        <f>D70+E70</f>
        <v>22849222</v>
      </c>
      <c r="D70" s="580">
        <v>18563126</v>
      </c>
      <c r="E70" s="580">
        <v>4286096</v>
      </c>
      <c r="F70" s="580">
        <v>3200</v>
      </c>
      <c r="G70" s="580">
        <v>1</v>
      </c>
      <c r="H70" s="458">
        <f t="shared" si="5"/>
        <v>22846022</v>
      </c>
      <c r="I70" s="458">
        <f t="shared" si="6"/>
        <v>15631908</v>
      </c>
      <c r="J70" s="580">
        <v>415793</v>
      </c>
      <c r="K70" s="580">
        <v>0</v>
      </c>
      <c r="L70" s="580"/>
      <c r="M70" s="580">
        <v>15215507</v>
      </c>
      <c r="N70" s="580"/>
      <c r="O70" s="580">
        <v>608</v>
      </c>
      <c r="P70" s="580"/>
      <c r="Q70" s="580"/>
      <c r="R70" s="580">
        <v>7214114</v>
      </c>
      <c r="S70" s="460">
        <f t="shared" si="3"/>
        <v>22430229</v>
      </c>
      <c r="T70" s="461">
        <f t="shared" si="2"/>
        <v>2.6598992266331147</v>
      </c>
      <c r="U70" s="553">
        <f t="shared" si="7"/>
        <v>0</v>
      </c>
    </row>
    <row r="71" spans="1:21" s="554" customFormat="1" ht="24" customHeight="1">
      <c r="A71" s="568" t="s">
        <v>549</v>
      </c>
      <c r="B71" s="565" t="s">
        <v>490</v>
      </c>
      <c r="C71" s="580">
        <f>D71+E71</f>
        <v>17610573</v>
      </c>
      <c r="D71" s="580">
        <v>17466399</v>
      </c>
      <c r="E71" s="580">
        <v>144174</v>
      </c>
      <c r="F71" s="580"/>
      <c r="G71" s="580"/>
      <c r="H71" s="458">
        <f t="shared" si="5"/>
        <v>17610573</v>
      </c>
      <c r="I71" s="458">
        <f t="shared" si="6"/>
        <v>13266554</v>
      </c>
      <c r="J71" s="580">
        <v>2501457</v>
      </c>
      <c r="K71" s="580">
        <v>0</v>
      </c>
      <c r="L71" s="580"/>
      <c r="M71" s="580">
        <v>10765097</v>
      </c>
      <c r="N71" s="580"/>
      <c r="O71" s="580"/>
      <c r="P71" s="580"/>
      <c r="Q71" s="580"/>
      <c r="R71" s="580">
        <v>4344019</v>
      </c>
      <c r="S71" s="460">
        <f t="shared" si="3"/>
        <v>15109116</v>
      </c>
      <c r="T71" s="461">
        <f t="shared" si="2"/>
        <v>18.855363646053075</v>
      </c>
      <c r="U71" s="553">
        <f t="shared" si="7"/>
        <v>0</v>
      </c>
    </row>
    <row r="72" spans="1:21" s="474" customFormat="1" ht="24" customHeight="1">
      <c r="A72" s="465">
        <v>9</v>
      </c>
      <c r="B72" s="466" t="s">
        <v>499</v>
      </c>
      <c r="C72" s="481">
        <f>SUM(C73:C75)</f>
        <v>11191477</v>
      </c>
      <c r="D72" s="481">
        <f aca="true" t="shared" si="18" ref="D72:R72">SUM(D73:D75)</f>
        <v>10696272</v>
      </c>
      <c r="E72" s="481">
        <f t="shared" si="18"/>
        <v>495205</v>
      </c>
      <c r="F72" s="481">
        <f t="shared" si="18"/>
        <v>3400</v>
      </c>
      <c r="G72" s="481">
        <f t="shared" si="18"/>
        <v>0</v>
      </c>
      <c r="H72" s="614">
        <f t="shared" si="5"/>
        <v>11188077</v>
      </c>
      <c r="I72" s="614">
        <f t="shared" si="6"/>
        <v>9888339</v>
      </c>
      <c r="J72" s="481">
        <f t="shared" si="18"/>
        <v>491332</v>
      </c>
      <c r="K72" s="481">
        <f t="shared" si="18"/>
        <v>411405</v>
      </c>
      <c r="L72" s="481">
        <f t="shared" si="18"/>
        <v>0</v>
      </c>
      <c r="M72" s="481">
        <f t="shared" si="18"/>
        <v>8985602</v>
      </c>
      <c r="N72" s="481">
        <f t="shared" si="18"/>
        <v>0</v>
      </c>
      <c r="O72" s="481">
        <f t="shared" si="18"/>
        <v>0</v>
      </c>
      <c r="P72" s="481">
        <f t="shared" si="18"/>
        <v>0</v>
      </c>
      <c r="Q72" s="481">
        <f t="shared" si="18"/>
        <v>0</v>
      </c>
      <c r="R72" s="481">
        <f t="shared" si="18"/>
        <v>1299738</v>
      </c>
      <c r="S72" s="602">
        <f t="shared" si="3"/>
        <v>10285340</v>
      </c>
      <c r="T72" s="453">
        <f t="shared" si="2"/>
        <v>9.129308774709282</v>
      </c>
      <c r="U72" s="476">
        <f t="shared" si="7"/>
        <v>0</v>
      </c>
    </row>
    <row r="73" spans="1:21" s="554" customFormat="1" ht="24" customHeight="1">
      <c r="A73" s="557" t="s">
        <v>500</v>
      </c>
      <c r="B73" s="557" t="s">
        <v>501</v>
      </c>
      <c r="C73" s="581">
        <f>SUM(D73:E73)</f>
        <v>3478901</v>
      </c>
      <c r="D73" s="581">
        <v>3380007</v>
      </c>
      <c r="E73" s="581">
        <f>32532+55757+10605</f>
        <v>98894</v>
      </c>
      <c r="F73" s="581">
        <v>0</v>
      </c>
      <c r="G73" s="581">
        <v>0</v>
      </c>
      <c r="H73" s="458">
        <f t="shared" si="5"/>
        <v>3478901</v>
      </c>
      <c r="I73" s="458">
        <f t="shared" si="6"/>
        <v>3141271</v>
      </c>
      <c r="J73" s="581">
        <f>29384+40732+256371+7900</f>
        <v>334387</v>
      </c>
      <c r="K73" s="581">
        <f>73600+240000</f>
        <v>313600</v>
      </c>
      <c r="L73" s="581">
        <v>0</v>
      </c>
      <c r="M73" s="613">
        <v>2493284</v>
      </c>
      <c r="N73" s="581">
        <v>0</v>
      </c>
      <c r="O73" s="581">
        <v>0</v>
      </c>
      <c r="P73" s="581">
        <v>0</v>
      </c>
      <c r="Q73" s="582">
        <v>0</v>
      </c>
      <c r="R73" s="583">
        <f>818630-480000-1000</f>
        <v>337630</v>
      </c>
      <c r="S73" s="460">
        <f t="shared" si="3"/>
        <v>2830914</v>
      </c>
      <c r="T73" s="461">
        <f t="shared" si="2"/>
        <v>20.628178848625286</v>
      </c>
      <c r="U73" s="553">
        <f t="shared" si="7"/>
        <v>0</v>
      </c>
    </row>
    <row r="74" spans="1:21" s="554" customFormat="1" ht="24" customHeight="1">
      <c r="A74" s="557" t="s">
        <v>502</v>
      </c>
      <c r="B74" s="557" t="s">
        <v>503</v>
      </c>
      <c r="C74" s="581">
        <f>SUM(D74:E74)</f>
        <v>4614671</v>
      </c>
      <c r="D74" s="581">
        <v>4403090</v>
      </c>
      <c r="E74" s="581">
        <f>112368+20143+73470+5600</f>
        <v>211581</v>
      </c>
      <c r="F74" s="581">
        <v>0</v>
      </c>
      <c r="G74" s="581">
        <v>0</v>
      </c>
      <c r="H74" s="458">
        <f t="shared" si="5"/>
        <v>4614671</v>
      </c>
      <c r="I74" s="458">
        <f t="shared" si="6"/>
        <v>4223736</v>
      </c>
      <c r="J74" s="581">
        <f>7887+1600+22700+33979</f>
        <v>66166</v>
      </c>
      <c r="K74" s="581">
        <f>15000</f>
        <v>15000</v>
      </c>
      <c r="L74" s="581">
        <v>0</v>
      </c>
      <c r="M74" s="613">
        <v>4142570</v>
      </c>
      <c r="N74" s="581">
        <v>0</v>
      </c>
      <c r="O74" s="581">
        <v>0</v>
      </c>
      <c r="P74" s="581">
        <v>0</v>
      </c>
      <c r="Q74" s="582">
        <v>0</v>
      </c>
      <c r="R74" s="583">
        <v>390935</v>
      </c>
      <c r="S74" s="460">
        <f t="shared" si="3"/>
        <v>4533505</v>
      </c>
      <c r="T74" s="461">
        <f t="shared" si="2"/>
        <v>1.9216636645850973</v>
      </c>
      <c r="U74" s="553">
        <f t="shared" si="7"/>
        <v>0</v>
      </c>
    </row>
    <row r="75" spans="1:21" s="554" customFormat="1" ht="24" customHeight="1">
      <c r="A75" s="557" t="s">
        <v>504</v>
      </c>
      <c r="B75" s="557" t="s">
        <v>505</v>
      </c>
      <c r="C75" s="581">
        <f>SUM(D75:E75)</f>
        <v>3097905</v>
      </c>
      <c r="D75" s="581">
        <v>2913175</v>
      </c>
      <c r="E75" s="581">
        <f>15325+13000+156405</f>
        <v>184730</v>
      </c>
      <c r="F75" s="581">
        <f>3400</f>
        <v>3400</v>
      </c>
      <c r="G75" s="581">
        <v>0</v>
      </c>
      <c r="H75" s="458">
        <f t="shared" si="5"/>
        <v>3094505</v>
      </c>
      <c r="I75" s="458">
        <f t="shared" si="6"/>
        <v>2523332</v>
      </c>
      <c r="J75" s="581">
        <f>9225+3700+11150+66704</f>
        <v>90779</v>
      </c>
      <c r="K75" s="581">
        <f>82805</f>
        <v>82805</v>
      </c>
      <c r="L75" s="581">
        <v>0</v>
      </c>
      <c r="M75" s="613">
        <v>2349748</v>
      </c>
      <c r="N75" s="581">
        <v>0</v>
      </c>
      <c r="O75" s="581">
        <v>0</v>
      </c>
      <c r="P75" s="581">
        <v>0</v>
      </c>
      <c r="Q75" s="582">
        <v>0</v>
      </c>
      <c r="R75" s="583">
        <v>571173</v>
      </c>
      <c r="S75" s="460">
        <f t="shared" si="3"/>
        <v>2920921</v>
      </c>
      <c r="T75" s="461">
        <f t="shared" si="2"/>
        <v>6.879158192421767</v>
      </c>
      <c r="U75" s="553">
        <f t="shared" si="7"/>
        <v>0</v>
      </c>
    </row>
    <row r="76" spans="1:21" s="474" customFormat="1" ht="24" customHeight="1">
      <c r="A76" s="465">
        <v>10</v>
      </c>
      <c r="B76" s="466" t="s">
        <v>506</v>
      </c>
      <c r="C76" s="482">
        <f>SUM(C77:C86)</f>
        <v>429250782</v>
      </c>
      <c r="D76" s="482">
        <f aca="true" t="shared" si="19" ref="D76:R76">SUM(D77:D86)</f>
        <v>394438705</v>
      </c>
      <c r="E76" s="482">
        <f t="shared" si="19"/>
        <v>34812077</v>
      </c>
      <c r="F76" s="482">
        <f t="shared" si="19"/>
        <v>176082</v>
      </c>
      <c r="G76" s="482">
        <f t="shared" si="19"/>
        <v>0</v>
      </c>
      <c r="H76" s="614">
        <f t="shared" si="5"/>
        <v>429074700</v>
      </c>
      <c r="I76" s="614">
        <f t="shared" si="6"/>
        <v>169307265</v>
      </c>
      <c r="J76" s="482">
        <f t="shared" si="19"/>
        <v>8051154</v>
      </c>
      <c r="K76" s="482">
        <f t="shared" si="19"/>
        <v>105587</v>
      </c>
      <c r="L76" s="482">
        <f t="shared" si="19"/>
        <v>0</v>
      </c>
      <c r="M76" s="482">
        <f t="shared" si="19"/>
        <v>157478517</v>
      </c>
      <c r="N76" s="482">
        <f t="shared" si="19"/>
        <v>297377</v>
      </c>
      <c r="O76" s="482">
        <f t="shared" si="19"/>
        <v>0</v>
      </c>
      <c r="P76" s="482">
        <f t="shared" si="19"/>
        <v>0</v>
      </c>
      <c r="Q76" s="482">
        <f t="shared" si="19"/>
        <v>3374630</v>
      </c>
      <c r="R76" s="482">
        <f t="shared" si="19"/>
        <v>259767435</v>
      </c>
      <c r="S76" s="602">
        <f t="shared" si="3"/>
        <v>420917959</v>
      </c>
      <c r="T76" s="453">
        <f aca="true" t="shared" si="20" ref="T76:T113">(J76+K76+L76)/I76*100</f>
        <v>4.817714703500762</v>
      </c>
      <c r="U76" s="476">
        <f aca="true" t="shared" si="21" ref="U76:U113">C76-F76-H76</f>
        <v>0</v>
      </c>
    </row>
    <row r="77" spans="1:21" s="554" customFormat="1" ht="24" customHeight="1">
      <c r="A77" s="585" t="s">
        <v>533</v>
      </c>
      <c r="B77" s="586" t="s">
        <v>473</v>
      </c>
      <c r="C77" s="584">
        <v>5569385</v>
      </c>
      <c r="D77" s="584">
        <v>212436</v>
      </c>
      <c r="E77" s="584">
        <f>5355891+1058</f>
        <v>5356949</v>
      </c>
      <c r="F77" s="584">
        <v>0</v>
      </c>
      <c r="G77" s="584">
        <v>0</v>
      </c>
      <c r="H77" s="458">
        <f t="shared" si="5"/>
        <v>5569385</v>
      </c>
      <c r="I77" s="458">
        <f t="shared" si="6"/>
        <v>5447207</v>
      </c>
      <c r="J77" s="584">
        <v>400</v>
      </c>
      <c r="K77" s="584">
        <v>0</v>
      </c>
      <c r="L77" s="584">
        <v>0</v>
      </c>
      <c r="M77" s="584">
        <v>5446807</v>
      </c>
      <c r="N77" s="584">
        <v>0</v>
      </c>
      <c r="O77" s="584">
        <v>0</v>
      </c>
      <c r="P77" s="584">
        <v>0</v>
      </c>
      <c r="Q77" s="584">
        <v>0</v>
      </c>
      <c r="R77" s="584">
        <v>122178</v>
      </c>
      <c r="S77" s="460">
        <f aca="true" t="shared" si="22" ref="S77:S113">SUM(M77:R77)</f>
        <v>5568985</v>
      </c>
      <c r="T77" s="461">
        <f t="shared" si="20"/>
        <v>0.007343212769406413</v>
      </c>
      <c r="U77" s="476">
        <f t="shared" si="21"/>
        <v>0</v>
      </c>
    </row>
    <row r="78" spans="1:21" s="554" customFormat="1" ht="24" customHeight="1">
      <c r="A78" s="585" t="s">
        <v>567</v>
      </c>
      <c r="B78" s="586" t="s">
        <v>568</v>
      </c>
      <c r="C78" s="584">
        <v>163780038</v>
      </c>
      <c r="D78" s="584">
        <v>159813863</v>
      </c>
      <c r="E78" s="584">
        <v>3966175</v>
      </c>
      <c r="F78" s="584">
        <v>14200</v>
      </c>
      <c r="G78" s="584">
        <v>0</v>
      </c>
      <c r="H78" s="458">
        <f aca="true" t="shared" si="23" ref="H78:H113">I78+R78</f>
        <v>163765838</v>
      </c>
      <c r="I78" s="458">
        <f aca="true" t="shared" si="24" ref="I78:I113">SUM(J78:Q78)</f>
        <v>16295426</v>
      </c>
      <c r="J78" s="584">
        <v>400720</v>
      </c>
      <c r="K78" s="584">
        <v>0</v>
      </c>
      <c r="L78" s="584">
        <v>0</v>
      </c>
      <c r="M78" s="584">
        <v>15894706</v>
      </c>
      <c r="N78" s="584">
        <v>0</v>
      </c>
      <c r="O78" s="584">
        <v>0</v>
      </c>
      <c r="P78" s="584">
        <v>0</v>
      </c>
      <c r="Q78" s="584">
        <v>0</v>
      </c>
      <c r="R78" s="584">
        <v>147470412</v>
      </c>
      <c r="S78" s="460">
        <f t="shared" si="22"/>
        <v>163365118</v>
      </c>
      <c r="T78" s="461">
        <f t="shared" si="20"/>
        <v>2.4590949632123764</v>
      </c>
      <c r="U78" s="553">
        <f t="shared" si="21"/>
        <v>0</v>
      </c>
    </row>
    <row r="79" spans="1:21" s="554" customFormat="1" ht="24" customHeight="1">
      <c r="A79" s="585" t="s">
        <v>534</v>
      </c>
      <c r="B79" s="586" t="s">
        <v>507</v>
      </c>
      <c r="C79" s="584">
        <v>24082741</v>
      </c>
      <c r="D79" s="584">
        <v>23550628</v>
      </c>
      <c r="E79" s="584">
        <v>532113</v>
      </c>
      <c r="F79" s="584">
        <v>0</v>
      </c>
      <c r="G79" s="584">
        <v>0</v>
      </c>
      <c r="H79" s="458">
        <f t="shared" si="23"/>
        <v>24082741</v>
      </c>
      <c r="I79" s="458">
        <f t="shared" si="24"/>
        <v>22983243</v>
      </c>
      <c r="J79" s="584">
        <v>7356176</v>
      </c>
      <c r="K79" s="584">
        <v>5200</v>
      </c>
      <c r="L79" s="584">
        <v>0</v>
      </c>
      <c r="M79" s="584">
        <v>13049707</v>
      </c>
      <c r="N79" s="584">
        <v>0</v>
      </c>
      <c r="O79" s="584">
        <v>0</v>
      </c>
      <c r="P79" s="584">
        <v>0</v>
      </c>
      <c r="Q79" s="584">
        <v>2572160</v>
      </c>
      <c r="R79" s="584">
        <v>1099498</v>
      </c>
      <c r="S79" s="460">
        <f t="shared" si="22"/>
        <v>16721365</v>
      </c>
      <c r="T79" s="461">
        <f t="shared" si="20"/>
        <v>32.029318055767845</v>
      </c>
      <c r="U79" s="553">
        <f t="shared" si="21"/>
        <v>0</v>
      </c>
    </row>
    <row r="80" spans="1:21" s="554" customFormat="1" ht="24" customHeight="1">
      <c r="A80" s="585" t="s">
        <v>535</v>
      </c>
      <c r="B80" s="586" t="s">
        <v>569</v>
      </c>
      <c r="C80" s="584">
        <v>7747511</v>
      </c>
      <c r="D80" s="584">
        <v>7724411</v>
      </c>
      <c r="E80" s="584">
        <v>23100</v>
      </c>
      <c r="F80" s="584">
        <v>4700</v>
      </c>
      <c r="G80" s="584">
        <v>0</v>
      </c>
      <c r="H80" s="458">
        <f t="shared" si="23"/>
        <v>7742811</v>
      </c>
      <c r="I80" s="458">
        <f t="shared" si="24"/>
        <v>5995338</v>
      </c>
      <c r="J80" s="584">
        <v>56900</v>
      </c>
      <c r="K80" s="584">
        <v>27042</v>
      </c>
      <c r="L80" s="584">
        <v>0</v>
      </c>
      <c r="M80" s="584">
        <v>5108926</v>
      </c>
      <c r="N80" s="584">
        <v>0</v>
      </c>
      <c r="O80" s="584">
        <v>0</v>
      </c>
      <c r="P80" s="584">
        <v>0</v>
      </c>
      <c r="Q80" s="584">
        <v>802470</v>
      </c>
      <c r="R80" s="584">
        <v>1747473</v>
      </c>
      <c r="S80" s="460">
        <f t="shared" si="22"/>
        <v>7658869</v>
      </c>
      <c r="T80" s="461">
        <f t="shared" si="20"/>
        <v>1.400121227527122</v>
      </c>
      <c r="U80" s="553">
        <f t="shared" si="21"/>
        <v>0</v>
      </c>
    </row>
    <row r="81" spans="1:21" s="554" customFormat="1" ht="24" customHeight="1">
      <c r="A81" s="585" t="s">
        <v>536</v>
      </c>
      <c r="B81" s="586" t="s">
        <v>508</v>
      </c>
      <c r="C81" s="584">
        <v>12877126</v>
      </c>
      <c r="D81" s="584">
        <v>12821590</v>
      </c>
      <c r="E81" s="584">
        <v>55536</v>
      </c>
      <c r="F81" s="584">
        <v>0</v>
      </c>
      <c r="G81" s="584">
        <v>0</v>
      </c>
      <c r="H81" s="458">
        <f t="shared" si="23"/>
        <v>12877126</v>
      </c>
      <c r="I81" s="458">
        <f t="shared" si="24"/>
        <v>12398073</v>
      </c>
      <c r="J81" s="584">
        <v>42000</v>
      </c>
      <c r="K81" s="584">
        <v>2064</v>
      </c>
      <c r="L81" s="584">
        <v>0</v>
      </c>
      <c r="M81" s="584">
        <v>12354009</v>
      </c>
      <c r="N81" s="584">
        <v>0</v>
      </c>
      <c r="O81" s="584">
        <v>0</v>
      </c>
      <c r="P81" s="584">
        <v>0</v>
      </c>
      <c r="Q81" s="584">
        <v>0</v>
      </c>
      <c r="R81" s="584">
        <v>479053</v>
      </c>
      <c r="S81" s="460">
        <f t="shared" si="22"/>
        <v>12833062</v>
      </c>
      <c r="T81" s="461">
        <f t="shared" si="20"/>
        <v>0.35541007058112983</v>
      </c>
      <c r="U81" s="553">
        <f t="shared" si="21"/>
        <v>0</v>
      </c>
    </row>
    <row r="82" spans="1:21" s="554" customFormat="1" ht="24" customHeight="1">
      <c r="A82" s="585" t="s">
        <v>537</v>
      </c>
      <c r="B82" s="586" t="s">
        <v>510</v>
      </c>
      <c r="C82" s="584">
        <v>76751376</v>
      </c>
      <c r="D82" s="584">
        <v>76618784</v>
      </c>
      <c r="E82" s="584">
        <v>132592</v>
      </c>
      <c r="F82" s="584">
        <v>45556</v>
      </c>
      <c r="G82" s="584">
        <v>0</v>
      </c>
      <c r="H82" s="458">
        <f t="shared" si="23"/>
        <v>76705820</v>
      </c>
      <c r="I82" s="458">
        <f t="shared" si="24"/>
        <v>6865668</v>
      </c>
      <c r="J82" s="584">
        <v>34996</v>
      </c>
      <c r="K82" s="584">
        <v>0</v>
      </c>
      <c r="L82" s="584">
        <v>0</v>
      </c>
      <c r="M82" s="584">
        <v>6680848</v>
      </c>
      <c r="N82" s="584">
        <v>149824</v>
      </c>
      <c r="O82" s="584">
        <v>0</v>
      </c>
      <c r="P82" s="584">
        <v>0</v>
      </c>
      <c r="Q82" s="584">
        <v>0</v>
      </c>
      <c r="R82" s="584">
        <v>69840152</v>
      </c>
      <c r="S82" s="460">
        <f t="shared" si="22"/>
        <v>76670824</v>
      </c>
      <c r="T82" s="461">
        <f t="shared" si="20"/>
        <v>0.509724618201754</v>
      </c>
      <c r="U82" s="553">
        <f t="shared" si="21"/>
        <v>0</v>
      </c>
    </row>
    <row r="83" spans="1:21" s="554" customFormat="1" ht="24" customHeight="1">
      <c r="A83" s="585" t="s">
        <v>509</v>
      </c>
      <c r="B83" s="587" t="s">
        <v>570</v>
      </c>
      <c r="C83" s="588">
        <v>45300745</v>
      </c>
      <c r="D83" s="588">
        <v>22008893</v>
      </c>
      <c r="E83" s="588">
        <v>23291852</v>
      </c>
      <c r="F83" s="588">
        <v>28572</v>
      </c>
      <c r="G83" s="588">
        <v>0</v>
      </c>
      <c r="H83" s="458">
        <f t="shared" si="23"/>
        <v>45272173</v>
      </c>
      <c r="I83" s="458">
        <f t="shared" si="24"/>
        <v>34119545</v>
      </c>
      <c r="J83" s="588">
        <v>34735</v>
      </c>
      <c r="K83" s="588">
        <v>0</v>
      </c>
      <c r="L83" s="588">
        <v>0</v>
      </c>
      <c r="M83" s="588">
        <v>33937257</v>
      </c>
      <c r="N83" s="588">
        <v>147553</v>
      </c>
      <c r="O83" s="588">
        <v>0</v>
      </c>
      <c r="P83" s="588">
        <v>0</v>
      </c>
      <c r="Q83" s="588">
        <v>0</v>
      </c>
      <c r="R83" s="588">
        <v>11152628</v>
      </c>
      <c r="S83" s="460">
        <f t="shared" si="22"/>
        <v>45237438</v>
      </c>
      <c r="T83" s="461">
        <f t="shared" si="20"/>
        <v>0.10180381948235243</v>
      </c>
      <c r="U83" s="553">
        <f t="shared" si="21"/>
        <v>0</v>
      </c>
    </row>
    <row r="84" spans="1:21" s="554" customFormat="1" ht="24" customHeight="1">
      <c r="A84" s="585" t="s">
        <v>511</v>
      </c>
      <c r="B84" s="586" t="s">
        <v>571</v>
      </c>
      <c r="C84" s="584">
        <v>54916066</v>
      </c>
      <c r="D84" s="584">
        <v>53559431</v>
      </c>
      <c r="E84" s="584">
        <v>1356635</v>
      </c>
      <c r="F84" s="584">
        <v>0</v>
      </c>
      <c r="G84" s="584">
        <v>0</v>
      </c>
      <c r="H84" s="458">
        <f t="shared" si="23"/>
        <v>54916066</v>
      </c>
      <c r="I84" s="458">
        <f t="shared" si="24"/>
        <v>31532910</v>
      </c>
      <c r="J84" s="584">
        <v>45068</v>
      </c>
      <c r="K84" s="584">
        <v>7813</v>
      </c>
      <c r="L84" s="584">
        <v>0</v>
      </c>
      <c r="M84" s="584">
        <v>31480029</v>
      </c>
      <c r="N84" s="584">
        <v>0</v>
      </c>
      <c r="O84" s="584">
        <v>0</v>
      </c>
      <c r="P84" s="584">
        <v>0</v>
      </c>
      <c r="Q84" s="584">
        <v>0</v>
      </c>
      <c r="R84" s="584">
        <v>23383156</v>
      </c>
      <c r="S84" s="460">
        <f t="shared" si="22"/>
        <v>54863185</v>
      </c>
      <c r="T84" s="461">
        <f t="shared" si="20"/>
        <v>0.16770098287788854</v>
      </c>
      <c r="U84" s="553">
        <f t="shared" si="21"/>
        <v>0</v>
      </c>
    </row>
    <row r="85" spans="1:21" s="554" customFormat="1" ht="24" customHeight="1">
      <c r="A85" s="585" t="s">
        <v>512</v>
      </c>
      <c r="B85" s="586" t="s">
        <v>547</v>
      </c>
      <c r="C85" s="584">
        <v>8721225</v>
      </c>
      <c r="D85" s="584">
        <v>8662800</v>
      </c>
      <c r="E85" s="584">
        <v>58425</v>
      </c>
      <c r="F85" s="584">
        <v>83054</v>
      </c>
      <c r="G85" s="584">
        <v>0</v>
      </c>
      <c r="H85" s="458">
        <f t="shared" si="23"/>
        <v>8638171</v>
      </c>
      <c r="I85" s="458">
        <f t="shared" si="24"/>
        <v>5911192</v>
      </c>
      <c r="J85" s="584">
        <v>68231</v>
      </c>
      <c r="K85" s="584">
        <v>25150</v>
      </c>
      <c r="L85" s="584">
        <v>0</v>
      </c>
      <c r="M85" s="584">
        <v>5817811</v>
      </c>
      <c r="N85" s="584">
        <v>0</v>
      </c>
      <c r="O85" s="584">
        <v>0</v>
      </c>
      <c r="P85" s="584">
        <v>0</v>
      </c>
      <c r="Q85" s="584">
        <v>0</v>
      </c>
      <c r="R85" s="584">
        <v>2726979</v>
      </c>
      <c r="S85" s="460">
        <f t="shared" si="22"/>
        <v>8544790</v>
      </c>
      <c r="T85" s="461">
        <f t="shared" si="20"/>
        <v>1.57973214201129</v>
      </c>
      <c r="U85" s="553">
        <f t="shared" si="21"/>
        <v>0</v>
      </c>
    </row>
    <row r="86" spans="1:21" s="554" customFormat="1" ht="24" customHeight="1">
      <c r="A86" s="585" t="s">
        <v>513</v>
      </c>
      <c r="B86" s="586" t="s">
        <v>576</v>
      </c>
      <c r="C86" s="584">
        <v>29504569</v>
      </c>
      <c r="D86" s="584">
        <v>29465869</v>
      </c>
      <c r="E86" s="584">
        <v>38700</v>
      </c>
      <c r="F86" s="584">
        <v>0</v>
      </c>
      <c r="G86" s="584">
        <v>0</v>
      </c>
      <c r="H86" s="458">
        <f t="shared" si="23"/>
        <v>29504569</v>
      </c>
      <c r="I86" s="458">
        <f t="shared" si="24"/>
        <v>27758663</v>
      </c>
      <c r="J86" s="584">
        <v>11928</v>
      </c>
      <c r="K86" s="584">
        <v>38318</v>
      </c>
      <c r="L86" s="584">
        <v>0</v>
      </c>
      <c r="M86" s="584">
        <v>27708417</v>
      </c>
      <c r="N86" s="584">
        <v>0</v>
      </c>
      <c r="O86" s="584">
        <v>0</v>
      </c>
      <c r="P86" s="584">
        <v>0</v>
      </c>
      <c r="Q86" s="584">
        <v>0</v>
      </c>
      <c r="R86" s="584">
        <v>1745906</v>
      </c>
      <c r="S86" s="460">
        <f t="shared" si="22"/>
        <v>29454323</v>
      </c>
      <c r="T86" s="461">
        <f t="shared" si="20"/>
        <v>0.18101015888265223</v>
      </c>
      <c r="U86" s="553">
        <f t="shared" si="21"/>
        <v>0</v>
      </c>
    </row>
    <row r="87" spans="1:21" s="474" customFormat="1" ht="24" customHeight="1">
      <c r="A87" s="465">
        <v>11</v>
      </c>
      <c r="B87" s="466" t="s">
        <v>514</v>
      </c>
      <c r="C87" s="477">
        <f>C88+C89</f>
        <v>10571654</v>
      </c>
      <c r="D87" s="477">
        <f aca="true" t="shared" si="25" ref="D87:R87">D88+D89</f>
        <v>9903693</v>
      </c>
      <c r="E87" s="477">
        <f t="shared" si="25"/>
        <v>667961</v>
      </c>
      <c r="F87" s="477">
        <f t="shared" si="25"/>
        <v>0</v>
      </c>
      <c r="G87" s="477">
        <f t="shared" si="25"/>
        <v>0</v>
      </c>
      <c r="H87" s="614">
        <f t="shared" si="23"/>
        <v>10571654</v>
      </c>
      <c r="I87" s="614">
        <f t="shared" si="24"/>
        <v>6578466</v>
      </c>
      <c r="J87" s="477">
        <f t="shared" si="25"/>
        <v>161698</v>
      </c>
      <c r="K87" s="477">
        <f t="shared" si="25"/>
        <v>1127399</v>
      </c>
      <c r="L87" s="477">
        <f t="shared" si="25"/>
        <v>0</v>
      </c>
      <c r="M87" s="477">
        <f t="shared" si="25"/>
        <v>5050295</v>
      </c>
      <c r="N87" s="477">
        <f t="shared" si="25"/>
        <v>0</v>
      </c>
      <c r="O87" s="477">
        <f t="shared" si="25"/>
        <v>0</v>
      </c>
      <c r="P87" s="477">
        <f t="shared" si="25"/>
        <v>0</v>
      </c>
      <c r="Q87" s="477">
        <f t="shared" si="25"/>
        <v>239074</v>
      </c>
      <c r="R87" s="477">
        <f t="shared" si="25"/>
        <v>3993188</v>
      </c>
      <c r="S87" s="602">
        <f t="shared" si="22"/>
        <v>9282557</v>
      </c>
      <c r="T87" s="453">
        <f t="shared" si="20"/>
        <v>19.595708178776025</v>
      </c>
      <c r="U87" s="476">
        <f t="shared" si="21"/>
        <v>0</v>
      </c>
    </row>
    <row r="88" spans="1:21" s="554" customFormat="1" ht="24" customHeight="1">
      <c r="A88" s="568" t="s">
        <v>515</v>
      </c>
      <c r="B88" s="565" t="s">
        <v>516</v>
      </c>
      <c r="C88" s="577">
        <f>D88+E88</f>
        <v>6948936</v>
      </c>
      <c r="D88" s="577">
        <v>6306675</v>
      </c>
      <c r="E88" s="577">
        <v>642261</v>
      </c>
      <c r="F88" s="577">
        <v>0</v>
      </c>
      <c r="G88" s="577">
        <v>0</v>
      </c>
      <c r="H88" s="458">
        <f t="shared" si="23"/>
        <v>6948936</v>
      </c>
      <c r="I88" s="458">
        <f t="shared" si="24"/>
        <v>3517170</v>
      </c>
      <c r="J88" s="577">
        <v>149898</v>
      </c>
      <c r="K88" s="577">
        <v>1127399</v>
      </c>
      <c r="L88" s="577">
        <v>0</v>
      </c>
      <c r="M88" s="577">
        <v>2055399</v>
      </c>
      <c r="N88" s="577">
        <v>0</v>
      </c>
      <c r="O88" s="577">
        <v>0</v>
      </c>
      <c r="P88" s="577">
        <v>0</v>
      </c>
      <c r="Q88" s="578">
        <v>184474</v>
      </c>
      <c r="R88" s="579">
        <v>3431766</v>
      </c>
      <c r="S88" s="460">
        <f t="shared" si="22"/>
        <v>5671639</v>
      </c>
      <c r="T88" s="461">
        <f t="shared" si="20"/>
        <v>36.31604386481177</v>
      </c>
      <c r="U88" s="553">
        <f t="shared" si="21"/>
        <v>0</v>
      </c>
    </row>
    <row r="89" spans="1:21" s="554" customFormat="1" ht="24" customHeight="1">
      <c r="A89" s="568" t="s">
        <v>517</v>
      </c>
      <c r="B89" s="565" t="s">
        <v>518</v>
      </c>
      <c r="C89" s="577">
        <f>D89+E89</f>
        <v>3622718</v>
      </c>
      <c r="D89" s="577">
        <v>3597018</v>
      </c>
      <c r="E89" s="577">
        <v>25700</v>
      </c>
      <c r="F89" s="577">
        <v>0</v>
      </c>
      <c r="G89" s="577">
        <v>0</v>
      </c>
      <c r="H89" s="458">
        <f t="shared" si="23"/>
        <v>3622718</v>
      </c>
      <c r="I89" s="458">
        <f t="shared" si="24"/>
        <v>3061296</v>
      </c>
      <c r="J89" s="577">
        <v>11800</v>
      </c>
      <c r="K89" s="577">
        <v>0</v>
      </c>
      <c r="L89" s="577">
        <v>0</v>
      </c>
      <c r="M89" s="577">
        <v>2994896</v>
      </c>
      <c r="N89" s="577">
        <v>0</v>
      </c>
      <c r="O89" s="577">
        <v>0</v>
      </c>
      <c r="P89" s="577">
        <v>0</v>
      </c>
      <c r="Q89" s="578">
        <v>54600</v>
      </c>
      <c r="R89" s="579">
        <v>561422</v>
      </c>
      <c r="S89" s="460">
        <f t="shared" si="22"/>
        <v>3610918</v>
      </c>
      <c r="T89" s="461">
        <f t="shared" si="20"/>
        <v>0.3854576623756736</v>
      </c>
      <c r="U89" s="553">
        <f t="shared" si="21"/>
        <v>0</v>
      </c>
    </row>
    <row r="90" spans="1:21" s="474" customFormat="1" ht="24" customHeight="1">
      <c r="A90" s="465">
        <v>12</v>
      </c>
      <c r="B90" s="466" t="s">
        <v>519</v>
      </c>
      <c r="C90" s="483">
        <f>C91+C92+C93</f>
        <v>28483790</v>
      </c>
      <c r="D90" s="483">
        <f aca="true" t="shared" si="26" ref="D90:R90">D91+D92+D93</f>
        <v>19532182</v>
      </c>
      <c r="E90" s="483">
        <f t="shared" si="26"/>
        <v>8951608</v>
      </c>
      <c r="F90" s="483">
        <f t="shared" si="26"/>
        <v>3200</v>
      </c>
      <c r="G90" s="483">
        <f t="shared" si="26"/>
        <v>0</v>
      </c>
      <c r="H90" s="614">
        <f t="shared" si="23"/>
        <v>28480590</v>
      </c>
      <c r="I90" s="614">
        <f t="shared" si="24"/>
        <v>25956374</v>
      </c>
      <c r="J90" s="483">
        <f t="shared" si="26"/>
        <v>1826355</v>
      </c>
      <c r="K90" s="483">
        <f t="shared" si="26"/>
        <v>3157842</v>
      </c>
      <c r="L90" s="483">
        <f t="shared" si="26"/>
        <v>0</v>
      </c>
      <c r="M90" s="483">
        <f t="shared" si="26"/>
        <v>20972177</v>
      </c>
      <c r="N90" s="483">
        <f t="shared" si="26"/>
        <v>0</v>
      </c>
      <c r="O90" s="483">
        <f t="shared" si="26"/>
        <v>0</v>
      </c>
      <c r="P90" s="483">
        <f t="shared" si="26"/>
        <v>0</v>
      </c>
      <c r="Q90" s="483">
        <f t="shared" si="26"/>
        <v>0</v>
      </c>
      <c r="R90" s="483">
        <f t="shared" si="26"/>
        <v>2524216</v>
      </c>
      <c r="S90" s="602">
        <f t="shared" si="22"/>
        <v>23496393</v>
      </c>
      <c r="T90" s="453">
        <f t="shared" si="20"/>
        <v>19.20220828995606</v>
      </c>
      <c r="U90" s="476">
        <f t="shared" si="21"/>
        <v>0</v>
      </c>
    </row>
    <row r="91" spans="1:21" s="554" customFormat="1" ht="24" customHeight="1">
      <c r="A91" s="549">
        <v>12.1</v>
      </c>
      <c r="B91" s="565" t="s">
        <v>542</v>
      </c>
      <c r="C91" s="580">
        <f>D91+E91</f>
        <v>12375673</v>
      </c>
      <c r="D91" s="580">
        <v>10843794</v>
      </c>
      <c r="E91" s="580">
        <v>1531879</v>
      </c>
      <c r="F91" s="580">
        <v>0</v>
      </c>
      <c r="G91" s="580">
        <v>0</v>
      </c>
      <c r="H91" s="458">
        <f t="shared" si="23"/>
        <v>12375673</v>
      </c>
      <c r="I91" s="458">
        <f t="shared" si="24"/>
        <v>10878385</v>
      </c>
      <c r="J91" s="580">
        <v>129705</v>
      </c>
      <c r="K91" s="580">
        <v>663862</v>
      </c>
      <c r="L91" s="580"/>
      <c r="M91" s="612">
        <v>10084818</v>
      </c>
      <c r="N91" s="580"/>
      <c r="O91" s="580"/>
      <c r="P91" s="580"/>
      <c r="Q91" s="580"/>
      <c r="R91" s="580">
        <v>1497288</v>
      </c>
      <c r="S91" s="460">
        <f t="shared" si="22"/>
        <v>11582106</v>
      </c>
      <c r="T91" s="461">
        <f t="shared" si="20"/>
        <v>7.29489717453464</v>
      </c>
      <c r="U91" s="553">
        <f t="shared" si="21"/>
        <v>0</v>
      </c>
    </row>
    <row r="92" spans="1:21" s="554" customFormat="1" ht="24" customHeight="1">
      <c r="A92" s="549">
        <v>12.2</v>
      </c>
      <c r="B92" s="565" t="s">
        <v>520</v>
      </c>
      <c r="C92" s="580">
        <f>D92+E92</f>
        <v>8713692</v>
      </c>
      <c r="D92" s="580">
        <v>3181478</v>
      </c>
      <c r="E92" s="580">
        <v>5532214</v>
      </c>
      <c r="F92" s="580">
        <v>0</v>
      </c>
      <c r="G92" s="580">
        <v>0</v>
      </c>
      <c r="H92" s="458">
        <f t="shared" si="23"/>
        <v>8713692</v>
      </c>
      <c r="I92" s="458">
        <f t="shared" si="24"/>
        <v>8096108</v>
      </c>
      <c r="J92" s="580">
        <v>1565615</v>
      </c>
      <c r="K92" s="580">
        <v>2493980</v>
      </c>
      <c r="L92" s="580"/>
      <c r="M92" s="612">
        <v>4036513</v>
      </c>
      <c r="N92" s="580">
        <v>0</v>
      </c>
      <c r="O92" s="580"/>
      <c r="P92" s="580"/>
      <c r="Q92" s="580"/>
      <c r="R92" s="580">
        <v>617584</v>
      </c>
      <c r="S92" s="460">
        <f t="shared" si="22"/>
        <v>4654097</v>
      </c>
      <c r="T92" s="461">
        <f t="shared" si="20"/>
        <v>50.142549975864945</v>
      </c>
      <c r="U92" s="553">
        <f t="shared" si="21"/>
        <v>0</v>
      </c>
    </row>
    <row r="93" spans="1:21" s="554" customFormat="1" ht="24" customHeight="1">
      <c r="A93" s="549">
        <v>12.3</v>
      </c>
      <c r="B93" s="565" t="s">
        <v>578</v>
      </c>
      <c r="C93" s="580">
        <f>D93+E93</f>
        <v>7394425</v>
      </c>
      <c r="D93" s="580">
        <v>5506910</v>
      </c>
      <c r="E93" s="580">
        <v>1887515</v>
      </c>
      <c r="F93" s="580">
        <v>3200</v>
      </c>
      <c r="G93" s="580"/>
      <c r="H93" s="458">
        <f t="shared" si="23"/>
        <v>7391225</v>
      </c>
      <c r="I93" s="458">
        <f t="shared" si="24"/>
        <v>6981881</v>
      </c>
      <c r="J93" s="580">
        <v>131035</v>
      </c>
      <c r="K93" s="580">
        <v>0</v>
      </c>
      <c r="L93" s="580"/>
      <c r="M93" s="612">
        <v>6850846</v>
      </c>
      <c r="N93" s="580"/>
      <c r="O93" s="580"/>
      <c r="P93" s="580"/>
      <c r="Q93" s="580"/>
      <c r="R93" s="580">
        <v>409344</v>
      </c>
      <c r="S93" s="460">
        <f t="shared" si="22"/>
        <v>7260190</v>
      </c>
      <c r="T93" s="461">
        <f t="shared" si="20"/>
        <v>1.8767864992256382</v>
      </c>
      <c r="U93" s="553">
        <f t="shared" si="21"/>
        <v>0</v>
      </c>
    </row>
    <row r="94" spans="1:21" s="474" customFormat="1" ht="24" customHeight="1">
      <c r="A94" s="465">
        <v>13</v>
      </c>
      <c r="B94" s="466" t="s">
        <v>521</v>
      </c>
      <c r="C94" s="479">
        <f>SUM(C95:C105)</f>
        <v>513428644</v>
      </c>
      <c r="D94" s="479">
        <f aca="true" t="shared" si="27" ref="D94:R94">SUM(D95:D105)</f>
        <v>394283023</v>
      </c>
      <c r="E94" s="479">
        <f t="shared" si="27"/>
        <v>119145621</v>
      </c>
      <c r="F94" s="479">
        <f t="shared" si="27"/>
        <v>3200</v>
      </c>
      <c r="G94" s="479">
        <f t="shared" si="27"/>
        <v>4538443</v>
      </c>
      <c r="H94" s="614">
        <f t="shared" si="23"/>
        <v>513425444</v>
      </c>
      <c r="I94" s="614">
        <f t="shared" si="24"/>
        <v>490679824</v>
      </c>
      <c r="J94" s="479">
        <f t="shared" si="27"/>
        <v>21264943</v>
      </c>
      <c r="K94" s="479">
        <f t="shared" si="27"/>
        <v>6074476</v>
      </c>
      <c r="L94" s="479">
        <f t="shared" si="27"/>
        <v>0</v>
      </c>
      <c r="M94" s="479">
        <f t="shared" si="27"/>
        <v>450888437</v>
      </c>
      <c r="N94" s="479">
        <f t="shared" si="27"/>
        <v>0</v>
      </c>
      <c r="O94" s="479">
        <f t="shared" si="27"/>
        <v>12451968</v>
      </c>
      <c r="P94" s="479">
        <f t="shared" si="27"/>
        <v>0</v>
      </c>
      <c r="Q94" s="479">
        <f t="shared" si="27"/>
        <v>0</v>
      </c>
      <c r="R94" s="479">
        <f t="shared" si="27"/>
        <v>22745620</v>
      </c>
      <c r="S94" s="602">
        <f t="shared" si="22"/>
        <v>486086025</v>
      </c>
      <c r="T94" s="453">
        <f t="shared" si="20"/>
        <v>5.57174305173795</v>
      </c>
      <c r="U94" s="476">
        <f t="shared" si="21"/>
        <v>0</v>
      </c>
    </row>
    <row r="95" spans="1:21" s="554" customFormat="1" ht="24" customHeight="1">
      <c r="A95" s="549">
        <v>13.1</v>
      </c>
      <c r="B95" s="589" t="s">
        <v>522</v>
      </c>
      <c r="C95" s="562">
        <f>D95+E95</f>
        <v>44362943</v>
      </c>
      <c r="D95" s="562">
        <v>657558</v>
      </c>
      <c r="E95" s="562">
        <v>43705385</v>
      </c>
      <c r="F95" s="562">
        <v>0</v>
      </c>
      <c r="G95" s="562">
        <v>0</v>
      </c>
      <c r="H95" s="458">
        <f t="shared" si="23"/>
        <v>44362943</v>
      </c>
      <c r="I95" s="458">
        <f t="shared" si="24"/>
        <v>44359129</v>
      </c>
      <c r="J95" s="562">
        <v>941909</v>
      </c>
      <c r="K95" s="562">
        <v>0</v>
      </c>
      <c r="L95" s="562"/>
      <c r="M95" s="562">
        <v>43417220</v>
      </c>
      <c r="N95" s="562"/>
      <c r="O95" s="562"/>
      <c r="P95" s="562"/>
      <c r="Q95" s="562"/>
      <c r="R95" s="564">
        <v>3814</v>
      </c>
      <c r="S95" s="460">
        <f t="shared" si="22"/>
        <v>43421034</v>
      </c>
      <c r="T95" s="461">
        <f t="shared" si="20"/>
        <v>2.123371268177966</v>
      </c>
      <c r="U95" s="553">
        <f t="shared" si="21"/>
        <v>0</v>
      </c>
    </row>
    <row r="96" spans="1:21" s="554" customFormat="1" ht="24" customHeight="1">
      <c r="A96" s="549">
        <v>13.2</v>
      </c>
      <c r="B96" s="589" t="s">
        <v>523</v>
      </c>
      <c r="C96" s="562">
        <f aca="true" t="shared" si="28" ref="C96:C105">D96+E96</f>
        <v>50155992</v>
      </c>
      <c r="D96" s="562">
        <v>49197224</v>
      </c>
      <c r="E96" s="562">
        <v>958768</v>
      </c>
      <c r="F96" s="562">
        <v>0</v>
      </c>
      <c r="G96" s="562">
        <v>0</v>
      </c>
      <c r="H96" s="458">
        <f t="shared" si="23"/>
        <v>50155992</v>
      </c>
      <c r="I96" s="458">
        <f t="shared" si="24"/>
        <v>44272234</v>
      </c>
      <c r="J96" s="562">
        <v>1436462</v>
      </c>
      <c r="K96" s="562">
        <v>913952</v>
      </c>
      <c r="L96" s="562"/>
      <c r="M96" s="562">
        <v>41921820</v>
      </c>
      <c r="N96" s="562"/>
      <c r="O96" s="562"/>
      <c r="P96" s="562"/>
      <c r="Q96" s="562"/>
      <c r="R96" s="564">
        <v>5883758</v>
      </c>
      <c r="S96" s="460">
        <f t="shared" si="22"/>
        <v>47805578</v>
      </c>
      <c r="T96" s="461">
        <f t="shared" si="20"/>
        <v>5.309002477715491</v>
      </c>
      <c r="U96" s="553">
        <f t="shared" si="21"/>
        <v>0</v>
      </c>
    </row>
    <row r="97" spans="1:21" s="554" customFormat="1" ht="24" customHeight="1">
      <c r="A97" s="549">
        <v>13.3</v>
      </c>
      <c r="B97" s="589" t="s">
        <v>550</v>
      </c>
      <c r="C97" s="562">
        <f t="shared" si="28"/>
        <v>104385101</v>
      </c>
      <c r="D97" s="562">
        <v>76222855</v>
      </c>
      <c r="E97" s="562">
        <v>28162246</v>
      </c>
      <c r="F97" s="562">
        <v>0</v>
      </c>
      <c r="G97" s="562">
        <v>0</v>
      </c>
      <c r="H97" s="458">
        <f t="shared" si="23"/>
        <v>104385101</v>
      </c>
      <c r="I97" s="458">
        <f t="shared" si="24"/>
        <v>100625919</v>
      </c>
      <c r="J97" s="562">
        <v>4214252</v>
      </c>
      <c r="K97" s="562">
        <v>2643140</v>
      </c>
      <c r="L97" s="562"/>
      <c r="M97" s="562">
        <v>93768527</v>
      </c>
      <c r="N97" s="562"/>
      <c r="O97" s="562"/>
      <c r="P97" s="562"/>
      <c r="Q97" s="562"/>
      <c r="R97" s="564">
        <v>3759182</v>
      </c>
      <c r="S97" s="460">
        <f t="shared" si="22"/>
        <v>97527709</v>
      </c>
      <c r="T97" s="461">
        <f t="shared" si="20"/>
        <v>6.81473726466041</v>
      </c>
      <c r="U97" s="553">
        <f t="shared" si="21"/>
        <v>0</v>
      </c>
    </row>
    <row r="98" spans="1:21" s="554" customFormat="1" ht="24" customHeight="1">
      <c r="A98" s="549">
        <v>13.4</v>
      </c>
      <c r="B98" s="590" t="s">
        <v>551</v>
      </c>
      <c r="C98" s="562">
        <f t="shared" si="28"/>
        <v>62729886</v>
      </c>
      <c r="D98" s="562">
        <v>61558488</v>
      </c>
      <c r="E98" s="562">
        <v>1171398</v>
      </c>
      <c r="F98" s="562">
        <v>0</v>
      </c>
      <c r="G98" s="562">
        <v>0</v>
      </c>
      <c r="H98" s="458">
        <f t="shared" si="23"/>
        <v>62729886</v>
      </c>
      <c r="I98" s="458">
        <f t="shared" si="24"/>
        <v>61471675</v>
      </c>
      <c r="J98" s="562">
        <v>3039720</v>
      </c>
      <c r="K98" s="562">
        <v>553500</v>
      </c>
      <c r="L98" s="562"/>
      <c r="M98" s="562">
        <v>57878455</v>
      </c>
      <c r="N98" s="562"/>
      <c r="O98" s="562"/>
      <c r="P98" s="562"/>
      <c r="Q98" s="573"/>
      <c r="R98" s="564">
        <v>1258211</v>
      </c>
      <c r="S98" s="460">
        <f t="shared" si="22"/>
        <v>59136666</v>
      </c>
      <c r="T98" s="461">
        <f t="shared" si="20"/>
        <v>5.845326323058546</v>
      </c>
      <c r="U98" s="553">
        <f t="shared" si="21"/>
        <v>0</v>
      </c>
    </row>
    <row r="99" spans="1:21" s="554" customFormat="1" ht="24" customHeight="1">
      <c r="A99" s="549">
        <v>13.5</v>
      </c>
      <c r="B99" s="591" t="s">
        <v>552</v>
      </c>
      <c r="C99" s="562">
        <f t="shared" si="28"/>
        <v>37312049</v>
      </c>
      <c r="D99" s="562">
        <f>39212596-4538443</f>
        <v>34674153</v>
      </c>
      <c r="E99" s="562">
        <v>2637896</v>
      </c>
      <c r="F99" s="562">
        <v>0</v>
      </c>
      <c r="G99" s="562">
        <v>4538443</v>
      </c>
      <c r="H99" s="458">
        <f t="shared" si="23"/>
        <v>37312049</v>
      </c>
      <c r="I99" s="458">
        <f t="shared" si="24"/>
        <v>36584842</v>
      </c>
      <c r="J99" s="562">
        <v>367534</v>
      </c>
      <c r="K99" s="562">
        <v>44996</v>
      </c>
      <c r="L99" s="562"/>
      <c r="M99" s="562">
        <v>23720344</v>
      </c>
      <c r="N99" s="562"/>
      <c r="O99" s="562">
        <v>12451968</v>
      </c>
      <c r="P99" s="562"/>
      <c r="Q99" s="562"/>
      <c r="R99" s="564">
        <v>727207</v>
      </c>
      <c r="S99" s="460">
        <f t="shared" si="22"/>
        <v>36899519</v>
      </c>
      <c r="T99" s="461">
        <f t="shared" si="20"/>
        <v>1.1275981457019821</v>
      </c>
      <c r="U99" s="553">
        <f t="shared" si="21"/>
        <v>0</v>
      </c>
    </row>
    <row r="100" spans="1:21" s="554" customFormat="1" ht="24" customHeight="1">
      <c r="A100" s="549">
        <v>13.6</v>
      </c>
      <c r="B100" s="591" t="s">
        <v>553</v>
      </c>
      <c r="C100" s="562">
        <f t="shared" si="28"/>
        <v>50561240</v>
      </c>
      <c r="D100" s="562">
        <v>47373610</v>
      </c>
      <c r="E100" s="562">
        <v>3187630</v>
      </c>
      <c r="F100" s="562">
        <v>0</v>
      </c>
      <c r="G100" s="562">
        <v>0</v>
      </c>
      <c r="H100" s="458">
        <f t="shared" si="23"/>
        <v>50561240</v>
      </c>
      <c r="I100" s="458">
        <f t="shared" si="24"/>
        <v>47982917</v>
      </c>
      <c r="J100" s="562">
        <v>3886800</v>
      </c>
      <c r="K100" s="562">
        <v>999696</v>
      </c>
      <c r="L100" s="562"/>
      <c r="M100" s="562">
        <v>43096421</v>
      </c>
      <c r="N100" s="562"/>
      <c r="O100" s="562"/>
      <c r="P100" s="562"/>
      <c r="Q100" s="562"/>
      <c r="R100" s="564">
        <v>2578323</v>
      </c>
      <c r="S100" s="460">
        <f t="shared" si="22"/>
        <v>45674744</v>
      </c>
      <c r="T100" s="461">
        <f t="shared" si="20"/>
        <v>10.183824380664477</v>
      </c>
      <c r="U100" s="553">
        <f t="shared" si="21"/>
        <v>0</v>
      </c>
    </row>
    <row r="101" spans="1:21" s="554" customFormat="1" ht="24" customHeight="1">
      <c r="A101" s="549">
        <v>13.7</v>
      </c>
      <c r="B101" s="591" t="s">
        <v>554</v>
      </c>
      <c r="C101" s="562">
        <f t="shared" si="28"/>
        <v>26025575</v>
      </c>
      <c r="D101" s="562">
        <v>24385350</v>
      </c>
      <c r="E101" s="562">
        <v>1640225</v>
      </c>
      <c r="F101" s="562">
        <v>0</v>
      </c>
      <c r="G101" s="562">
        <v>0</v>
      </c>
      <c r="H101" s="458">
        <f t="shared" si="23"/>
        <v>26025575</v>
      </c>
      <c r="I101" s="458">
        <f t="shared" si="24"/>
        <v>24826676</v>
      </c>
      <c r="J101" s="562">
        <v>4547602</v>
      </c>
      <c r="K101" s="562">
        <v>447837</v>
      </c>
      <c r="L101" s="562"/>
      <c r="M101" s="562">
        <v>19831237</v>
      </c>
      <c r="N101" s="562"/>
      <c r="O101" s="562"/>
      <c r="P101" s="562"/>
      <c r="Q101" s="562"/>
      <c r="R101" s="564">
        <v>1198899</v>
      </c>
      <c r="S101" s="460">
        <f t="shared" si="22"/>
        <v>21030136</v>
      </c>
      <c r="T101" s="461">
        <f t="shared" si="20"/>
        <v>20.1212558620413</v>
      </c>
      <c r="U101" s="553">
        <f t="shared" si="21"/>
        <v>0</v>
      </c>
    </row>
    <row r="102" spans="1:21" s="554" customFormat="1" ht="24" customHeight="1">
      <c r="A102" s="549">
        <v>13.8</v>
      </c>
      <c r="B102" s="589" t="s">
        <v>555</v>
      </c>
      <c r="C102" s="562">
        <f t="shared" si="28"/>
        <v>47656889</v>
      </c>
      <c r="D102" s="562">
        <v>46446212</v>
      </c>
      <c r="E102" s="562">
        <v>1210677</v>
      </c>
      <c r="F102" s="562">
        <v>0</v>
      </c>
      <c r="G102" s="562">
        <v>0</v>
      </c>
      <c r="H102" s="458">
        <f t="shared" si="23"/>
        <v>47656889</v>
      </c>
      <c r="I102" s="458">
        <f t="shared" si="24"/>
        <v>45795942</v>
      </c>
      <c r="J102" s="562">
        <v>2341565</v>
      </c>
      <c r="K102" s="562">
        <v>442345</v>
      </c>
      <c r="L102" s="562"/>
      <c r="M102" s="562">
        <v>43012032</v>
      </c>
      <c r="N102" s="562"/>
      <c r="O102" s="562"/>
      <c r="P102" s="562"/>
      <c r="Q102" s="562"/>
      <c r="R102" s="564">
        <v>1860947</v>
      </c>
      <c r="S102" s="460">
        <f t="shared" si="22"/>
        <v>44872979</v>
      </c>
      <c r="T102" s="461">
        <f t="shared" si="20"/>
        <v>6.078944723967028</v>
      </c>
      <c r="U102" s="553">
        <f t="shared" si="21"/>
        <v>0</v>
      </c>
    </row>
    <row r="103" spans="1:21" s="554" customFormat="1" ht="24" customHeight="1">
      <c r="A103" s="549">
        <v>13.9</v>
      </c>
      <c r="B103" s="589" t="s">
        <v>556</v>
      </c>
      <c r="C103" s="562">
        <f t="shared" si="28"/>
        <v>13882572</v>
      </c>
      <c r="D103" s="562">
        <v>9217670</v>
      </c>
      <c r="E103" s="562">
        <v>4664902</v>
      </c>
      <c r="F103" s="562">
        <v>3200</v>
      </c>
      <c r="G103" s="562">
        <v>0</v>
      </c>
      <c r="H103" s="458">
        <f t="shared" si="23"/>
        <v>13879372</v>
      </c>
      <c r="I103" s="458">
        <f t="shared" si="24"/>
        <v>11143562</v>
      </c>
      <c r="J103" s="562">
        <v>78392</v>
      </c>
      <c r="K103" s="562">
        <v>6812</v>
      </c>
      <c r="L103" s="562"/>
      <c r="M103" s="562">
        <v>11058358</v>
      </c>
      <c r="N103" s="562"/>
      <c r="O103" s="562"/>
      <c r="P103" s="562"/>
      <c r="Q103" s="562"/>
      <c r="R103" s="564">
        <v>2735810</v>
      </c>
      <c r="S103" s="460">
        <f t="shared" si="22"/>
        <v>13794168</v>
      </c>
      <c r="T103" s="461">
        <f t="shared" si="20"/>
        <v>0.7646029160155433</v>
      </c>
      <c r="U103" s="553">
        <f t="shared" si="21"/>
        <v>0</v>
      </c>
    </row>
    <row r="104" spans="1:21" s="554" customFormat="1" ht="24" customHeight="1">
      <c r="A104" s="549" t="s">
        <v>557</v>
      </c>
      <c r="B104" s="589" t="s">
        <v>558</v>
      </c>
      <c r="C104" s="562">
        <f t="shared" si="28"/>
        <v>52643831</v>
      </c>
      <c r="D104" s="562">
        <v>35184760</v>
      </c>
      <c r="E104" s="562">
        <v>17459071</v>
      </c>
      <c r="F104" s="562">
        <v>0</v>
      </c>
      <c r="G104" s="562">
        <v>0</v>
      </c>
      <c r="H104" s="458">
        <f t="shared" si="23"/>
        <v>52643831</v>
      </c>
      <c r="I104" s="458">
        <f t="shared" si="24"/>
        <v>50786518</v>
      </c>
      <c r="J104" s="562">
        <v>325883</v>
      </c>
      <c r="K104" s="562">
        <v>20050</v>
      </c>
      <c r="L104" s="562"/>
      <c r="M104" s="562">
        <v>50440585</v>
      </c>
      <c r="N104" s="562"/>
      <c r="O104" s="562"/>
      <c r="P104" s="562"/>
      <c r="Q104" s="562"/>
      <c r="R104" s="564">
        <v>1857313</v>
      </c>
      <c r="S104" s="460">
        <f t="shared" si="22"/>
        <v>52297898</v>
      </c>
      <c r="T104" s="461">
        <f t="shared" si="20"/>
        <v>0.6811512456908347</v>
      </c>
      <c r="U104" s="553">
        <f t="shared" si="21"/>
        <v>0</v>
      </c>
    </row>
    <row r="105" spans="1:21" s="554" customFormat="1" ht="24" customHeight="1">
      <c r="A105" s="549" t="s">
        <v>559</v>
      </c>
      <c r="B105" s="589" t="s">
        <v>463</v>
      </c>
      <c r="C105" s="562">
        <f t="shared" si="28"/>
        <v>23712566</v>
      </c>
      <c r="D105" s="562">
        <v>9365143</v>
      </c>
      <c r="E105" s="562">
        <v>14347423</v>
      </c>
      <c r="F105" s="562">
        <v>0</v>
      </c>
      <c r="G105" s="562">
        <v>0</v>
      </c>
      <c r="H105" s="458">
        <f t="shared" si="23"/>
        <v>23712566</v>
      </c>
      <c r="I105" s="458">
        <f t="shared" si="24"/>
        <v>22830410</v>
      </c>
      <c r="J105" s="562">
        <v>84824</v>
      </c>
      <c r="K105" s="562">
        <v>2148</v>
      </c>
      <c r="L105" s="562"/>
      <c r="M105" s="562">
        <v>22743438</v>
      </c>
      <c r="N105" s="562"/>
      <c r="O105" s="562"/>
      <c r="P105" s="562"/>
      <c r="Q105" s="562"/>
      <c r="R105" s="564">
        <v>882156</v>
      </c>
      <c r="S105" s="460">
        <f t="shared" si="22"/>
        <v>23625594</v>
      </c>
      <c r="T105" s="461">
        <f t="shared" si="20"/>
        <v>0.3809480425450091</v>
      </c>
      <c r="U105" s="553">
        <f t="shared" si="21"/>
        <v>0</v>
      </c>
    </row>
    <row r="106" spans="1:21" s="474" customFormat="1" ht="24" customHeight="1">
      <c r="A106" s="465">
        <v>14</v>
      </c>
      <c r="B106" s="466" t="s">
        <v>524</v>
      </c>
      <c r="C106" s="483">
        <f>C107+C108</f>
        <v>16254584</v>
      </c>
      <c r="D106" s="483">
        <f aca="true" t="shared" si="29" ref="D106:R106">D107+D108</f>
        <v>11138374</v>
      </c>
      <c r="E106" s="483">
        <f t="shared" si="29"/>
        <v>5116210</v>
      </c>
      <c r="F106" s="483">
        <f t="shared" si="29"/>
        <v>1574250</v>
      </c>
      <c r="G106" s="483">
        <f t="shared" si="29"/>
        <v>0</v>
      </c>
      <c r="H106" s="614">
        <f t="shared" si="23"/>
        <v>14680334</v>
      </c>
      <c r="I106" s="614">
        <f t="shared" si="24"/>
        <v>8252170</v>
      </c>
      <c r="J106" s="483">
        <f t="shared" si="29"/>
        <v>850820</v>
      </c>
      <c r="K106" s="483">
        <f t="shared" si="29"/>
        <v>5623</v>
      </c>
      <c r="L106" s="483">
        <f t="shared" si="29"/>
        <v>0</v>
      </c>
      <c r="M106" s="483">
        <f t="shared" si="29"/>
        <v>7395727</v>
      </c>
      <c r="N106" s="483">
        <f t="shared" si="29"/>
        <v>0</v>
      </c>
      <c r="O106" s="483">
        <f t="shared" si="29"/>
        <v>0</v>
      </c>
      <c r="P106" s="483">
        <f t="shared" si="29"/>
        <v>0</v>
      </c>
      <c r="Q106" s="483">
        <f t="shared" si="29"/>
        <v>0</v>
      </c>
      <c r="R106" s="483">
        <f t="shared" si="29"/>
        <v>6428164</v>
      </c>
      <c r="S106" s="602">
        <f t="shared" si="22"/>
        <v>13823891</v>
      </c>
      <c r="T106" s="453">
        <f t="shared" si="20"/>
        <v>10.37839743970374</v>
      </c>
      <c r="U106" s="476">
        <f t="shared" si="21"/>
        <v>0</v>
      </c>
    </row>
    <row r="107" spans="1:21" s="554" customFormat="1" ht="24" customHeight="1">
      <c r="A107" s="568" t="s">
        <v>525</v>
      </c>
      <c r="B107" s="565" t="s">
        <v>526</v>
      </c>
      <c r="C107" s="592">
        <f aca="true" t="shared" si="30" ref="C107:C113">D107+E107</f>
        <v>8136467</v>
      </c>
      <c r="D107" s="592">
        <v>6111241</v>
      </c>
      <c r="E107" s="592">
        <v>2025226</v>
      </c>
      <c r="F107" s="592">
        <v>958474</v>
      </c>
      <c r="G107" s="592">
        <v>0</v>
      </c>
      <c r="H107" s="458">
        <f t="shared" si="23"/>
        <v>7177993</v>
      </c>
      <c r="I107" s="458">
        <f t="shared" si="24"/>
        <v>1440964</v>
      </c>
      <c r="J107" s="592">
        <v>131975</v>
      </c>
      <c r="K107" s="592">
        <v>674</v>
      </c>
      <c r="L107" s="592">
        <v>0</v>
      </c>
      <c r="M107" s="592">
        <v>1308315</v>
      </c>
      <c r="N107" s="592">
        <v>0</v>
      </c>
      <c r="O107" s="593">
        <v>0</v>
      </c>
      <c r="P107" s="594">
        <v>0</v>
      </c>
      <c r="Q107" s="593">
        <v>0</v>
      </c>
      <c r="R107" s="595">
        <v>5737029</v>
      </c>
      <c r="S107" s="460">
        <f t="shared" si="22"/>
        <v>7045344</v>
      </c>
      <c r="T107" s="461">
        <f t="shared" si="20"/>
        <v>9.205573491079583</v>
      </c>
      <c r="U107" s="553">
        <f t="shared" si="21"/>
        <v>0</v>
      </c>
    </row>
    <row r="108" spans="1:21" s="554" customFormat="1" ht="24" customHeight="1">
      <c r="A108" s="568" t="s">
        <v>527</v>
      </c>
      <c r="B108" s="565" t="s">
        <v>528</v>
      </c>
      <c r="C108" s="596">
        <f t="shared" si="30"/>
        <v>8118117</v>
      </c>
      <c r="D108" s="596">
        <v>5027133</v>
      </c>
      <c r="E108" s="596">
        <v>3090984</v>
      </c>
      <c r="F108" s="596">
        <v>615776</v>
      </c>
      <c r="G108" s="596">
        <v>0</v>
      </c>
      <c r="H108" s="458">
        <f t="shared" si="23"/>
        <v>7502341</v>
      </c>
      <c r="I108" s="458">
        <f t="shared" si="24"/>
        <v>6811206</v>
      </c>
      <c r="J108" s="596">
        <v>718845</v>
      </c>
      <c r="K108" s="596">
        <v>4949</v>
      </c>
      <c r="L108" s="596">
        <v>0</v>
      </c>
      <c r="M108" s="596">
        <v>6087412</v>
      </c>
      <c r="N108" s="596">
        <v>0</v>
      </c>
      <c r="O108" s="597">
        <v>0</v>
      </c>
      <c r="P108" s="598">
        <v>0</v>
      </c>
      <c r="Q108" s="597">
        <v>0</v>
      </c>
      <c r="R108" s="595">
        <v>691135</v>
      </c>
      <c r="S108" s="460">
        <f t="shared" si="22"/>
        <v>6778547</v>
      </c>
      <c r="T108" s="461">
        <f t="shared" si="20"/>
        <v>10.626517535954719</v>
      </c>
      <c r="U108" s="553">
        <f t="shared" si="21"/>
        <v>0</v>
      </c>
    </row>
    <row r="109" spans="1:21" s="474" customFormat="1" ht="24" customHeight="1">
      <c r="A109" s="465">
        <v>15</v>
      </c>
      <c r="B109" s="466" t="s">
        <v>529</v>
      </c>
      <c r="C109" s="484">
        <f>C110+C111+C112+C113</f>
        <v>40729666</v>
      </c>
      <c r="D109" s="484">
        <f>D110+D111+D112+D113</f>
        <v>16756890</v>
      </c>
      <c r="E109" s="484">
        <f aca="true" t="shared" si="31" ref="E109:R109">E110+E111+E112+E113</f>
        <v>23972776</v>
      </c>
      <c r="F109" s="484">
        <f t="shared" si="31"/>
        <v>1133186</v>
      </c>
      <c r="G109" s="484">
        <f t="shared" si="31"/>
        <v>0</v>
      </c>
      <c r="H109" s="614">
        <f t="shared" si="23"/>
        <v>39596480</v>
      </c>
      <c r="I109" s="614">
        <f t="shared" si="24"/>
        <v>37890770</v>
      </c>
      <c r="J109" s="484">
        <f t="shared" si="31"/>
        <v>285554</v>
      </c>
      <c r="K109" s="484">
        <f t="shared" si="31"/>
        <v>0</v>
      </c>
      <c r="L109" s="484">
        <f t="shared" si="31"/>
        <v>0</v>
      </c>
      <c r="M109" s="484">
        <f t="shared" si="31"/>
        <v>36429671</v>
      </c>
      <c r="N109" s="484">
        <f t="shared" si="31"/>
        <v>305307</v>
      </c>
      <c r="O109" s="484">
        <f t="shared" si="31"/>
        <v>0</v>
      </c>
      <c r="P109" s="484">
        <f t="shared" si="31"/>
        <v>0</v>
      </c>
      <c r="Q109" s="484">
        <f t="shared" si="31"/>
        <v>870238</v>
      </c>
      <c r="R109" s="484">
        <f t="shared" si="31"/>
        <v>1705710</v>
      </c>
      <c r="S109" s="602">
        <f t="shared" si="22"/>
        <v>39310926</v>
      </c>
      <c r="T109" s="453">
        <f t="shared" si="20"/>
        <v>0.7536241675743196</v>
      </c>
      <c r="U109" s="476">
        <f t="shared" si="21"/>
        <v>0</v>
      </c>
    </row>
    <row r="110" spans="1:21" s="554" customFormat="1" ht="24" customHeight="1">
      <c r="A110" s="555">
        <v>15.1</v>
      </c>
      <c r="B110" s="576" t="s">
        <v>530</v>
      </c>
      <c r="C110" s="599">
        <f t="shared" si="30"/>
        <v>7092460</v>
      </c>
      <c r="D110" s="599">
        <v>7074260</v>
      </c>
      <c r="E110" s="599">
        <v>18200</v>
      </c>
      <c r="F110" s="599">
        <v>0</v>
      </c>
      <c r="G110" s="599">
        <v>0</v>
      </c>
      <c r="H110" s="458">
        <f t="shared" si="23"/>
        <v>7092460</v>
      </c>
      <c r="I110" s="458">
        <f t="shared" si="24"/>
        <v>7074660</v>
      </c>
      <c r="J110" s="599">
        <v>153000</v>
      </c>
      <c r="K110" s="599">
        <v>0</v>
      </c>
      <c r="L110" s="599">
        <v>0</v>
      </c>
      <c r="M110" s="611">
        <v>6921660</v>
      </c>
      <c r="N110" s="599">
        <v>0</v>
      </c>
      <c r="O110" s="599">
        <v>0</v>
      </c>
      <c r="P110" s="599">
        <v>0</v>
      </c>
      <c r="Q110" s="600">
        <v>0</v>
      </c>
      <c r="R110" s="601">
        <v>17800</v>
      </c>
      <c r="S110" s="460">
        <f t="shared" si="22"/>
        <v>6939460</v>
      </c>
      <c r="T110" s="461">
        <f t="shared" si="20"/>
        <v>2.162648098989916</v>
      </c>
      <c r="U110" s="553">
        <f t="shared" si="21"/>
        <v>0</v>
      </c>
    </row>
    <row r="111" spans="1:21" s="554" customFormat="1" ht="24" customHeight="1">
      <c r="A111" s="555">
        <v>15.2</v>
      </c>
      <c r="B111" s="576" t="s">
        <v>560</v>
      </c>
      <c r="C111" s="599">
        <f t="shared" si="30"/>
        <v>5533439</v>
      </c>
      <c r="D111" s="599">
        <v>5481803</v>
      </c>
      <c r="E111" s="599">
        <v>51636</v>
      </c>
      <c r="F111" s="599">
        <v>0</v>
      </c>
      <c r="G111" s="599">
        <v>0</v>
      </c>
      <c r="H111" s="458">
        <f t="shared" si="23"/>
        <v>5533439</v>
      </c>
      <c r="I111" s="458">
        <f t="shared" si="24"/>
        <v>4826885</v>
      </c>
      <c r="J111" s="599">
        <v>36736</v>
      </c>
      <c r="K111" s="599">
        <v>0</v>
      </c>
      <c r="L111" s="599">
        <v>0</v>
      </c>
      <c r="M111" s="611">
        <v>4790149</v>
      </c>
      <c r="N111" s="599">
        <v>0</v>
      </c>
      <c r="O111" s="599">
        <v>0</v>
      </c>
      <c r="P111" s="599">
        <v>0</v>
      </c>
      <c r="Q111" s="600">
        <v>0</v>
      </c>
      <c r="R111" s="601">
        <v>706554</v>
      </c>
      <c r="S111" s="460">
        <f t="shared" si="22"/>
        <v>5496703</v>
      </c>
      <c r="T111" s="461">
        <f t="shared" si="20"/>
        <v>0.7610705454967335</v>
      </c>
      <c r="U111" s="553">
        <f t="shared" si="21"/>
        <v>0</v>
      </c>
    </row>
    <row r="112" spans="1:21" s="554" customFormat="1" ht="24" customHeight="1">
      <c r="A112" s="555">
        <v>15.3</v>
      </c>
      <c r="B112" s="576" t="s">
        <v>562</v>
      </c>
      <c r="C112" s="599">
        <f t="shared" si="30"/>
        <v>25599912</v>
      </c>
      <c r="D112" s="599">
        <v>2661574</v>
      </c>
      <c r="E112" s="599">
        <v>22938338</v>
      </c>
      <c r="F112" s="599">
        <v>1133186</v>
      </c>
      <c r="G112" s="599">
        <v>0</v>
      </c>
      <c r="H112" s="458">
        <f t="shared" si="23"/>
        <v>24466726</v>
      </c>
      <c r="I112" s="458">
        <f t="shared" si="24"/>
        <v>23750218</v>
      </c>
      <c r="J112" s="599">
        <v>9600</v>
      </c>
      <c r="K112" s="599">
        <v>0</v>
      </c>
      <c r="L112" s="599">
        <v>0</v>
      </c>
      <c r="M112" s="611">
        <v>22565073</v>
      </c>
      <c r="N112" s="599">
        <v>305307</v>
      </c>
      <c r="O112" s="599">
        <v>0</v>
      </c>
      <c r="P112" s="599">
        <v>0</v>
      </c>
      <c r="Q112" s="600">
        <v>870238</v>
      </c>
      <c r="R112" s="601">
        <v>716508</v>
      </c>
      <c r="S112" s="460">
        <f t="shared" si="22"/>
        <v>24457126</v>
      </c>
      <c r="T112" s="461">
        <f t="shared" si="20"/>
        <v>0.04042068161226983</v>
      </c>
      <c r="U112" s="553">
        <f t="shared" si="21"/>
        <v>0</v>
      </c>
    </row>
    <row r="113" spans="1:21" s="554" customFormat="1" ht="24" customHeight="1">
      <c r="A113" s="555">
        <v>15.4</v>
      </c>
      <c r="B113" s="576" t="s">
        <v>561</v>
      </c>
      <c r="C113" s="599">
        <f t="shared" si="30"/>
        <v>2503855</v>
      </c>
      <c r="D113" s="599">
        <v>1539253</v>
      </c>
      <c r="E113" s="599">
        <v>964602</v>
      </c>
      <c r="F113" s="599">
        <v>0</v>
      </c>
      <c r="G113" s="599">
        <v>0</v>
      </c>
      <c r="H113" s="458">
        <f t="shared" si="23"/>
        <v>2503855</v>
      </c>
      <c r="I113" s="458">
        <f t="shared" si="24"/>
        <v>2239007</v>
      </c>
      <c r="J113" s="599">
        <v>86218</v>
      </c>
      <c r="K113" s="599">
        <v>0</v>
      </c>
      <c r="L113" s="599">
        <v>0</v>
      </c>
      <c r="M113" s="611">
        <v>2152789</v>
      </c>
      <c r="N113" s="599">
        <v>0</v>
      </c>
      <c r="O113" s="599">
        <v>0</v>
      </c>
      <c r="P113" s="599">
        <v>0</v>
      </c>
      <c r="Q113" s="600">
        <v>0</v>
      </c>
      <c r="R113" s="601">
        <v>264848</v>
      </c>
      <c r="S113" s="460">
        <f t="shared" si="22"/>
        <v>2417637</v>
      </c>
      <c r="T113" s="461">
        <f t="shared" si="20"/>
        <v>3.8507248972423933</v>
      </c>
      <c r="U113" s="553">
        <f t="shared" si="21"/>
        <v>0</v>
      </c>
    </row>
    <row r="114" spans="1:20" ht="18.75">
      <c r="A114" s="469"/>
      <c r="B114" s="921" t="s">
        <v>420</v>
      </c>
      <c r="C114" s="921"/>
      <c r="D114" s="921"/>
      <c r="E114" s="397"/>
      <c r="F114" s="397"/>
      <c r="G114" s="397"/>
      <c r="H114" s="402"/>
      <c r="I114" s="402"/>
      <c r="J114" s="397"/>
      <c r="K114" s="397"/>
      <c r="L114" s="397"/>
      <c r="M114" s="397"/>
      <c r="N114" s="397"/>
      <c r="O114" s="397"/>
      <c r="P114" s="969" t="s">
        <v>582</v>
      </c>
      <c r="Q114" s="969"/>
      <c r="R114" s="969"/>
      <c r="S114" s="969"/>
      <c r="T114" s="969"/>
    </row>
    <row r="115" spans="1:20" ht="21" customHeight="1">
      <c r="A115" s="469"/>
      <c r="B115" s="389"/>
      <c r="C115" s="402"/>
      <c r="D115" s="397"/>
      <c r="E115" s="397"/>
      <c r="F115" s="397"/>
      <c r="G115" s="397"/>
      <c r="H115" s="402"/>
      <c r="I115" s="402"/>
      <c r="J115" s="397"/>
      <c r="K115" s="397"/>
      <c r="L115" s="397"/>
      <c r="M115" s="397"/>
      <c r="N115" s="397"/>
      <c r="O115" s="397"/>
      <c r="P115" s="957" t="s">
        <v>564</v>
      </c>
      <c r="Q115" s="957"/>
      <c r="R115" s="957"/>
      <c r="S115" s="957"/>
      <c r="T115" s="957"/>
    </row>
    <row r="116" spans="1:20" ht="21" customHeight="1">
      <c r="A116" s="469"/>
      <c r="B116" s="389"/>
      <c r="C116" s="402"/>
      <c r="D116" s="397"/>
      <c r="E116" s="397"/>
      <c r="F116" s="397"/>
      <c r="G116" s="397"/>
      <c r="H116" s="402"/>
      <c r="I116" s="402"/>
      <c r="J116" s="397"/>
      <c r="K116" s="397"/>
      <c r="L116" s="397"/>
      <c r="M116" s="397"/>
      <c r="N116" s="397"/>
      <c r="O116" s="397"/>
      <c r="P116" s="397"/>
      <c r="Q116" s="397"/>
      <c r="R116" s="402"/>
      <c r="S116" s="402"/>
      <c r="T116" s="397"/>
    </row>
    <row r="117" spans="1:20" ht="21" customHeight="1">
      <c r="A117" s="469"/>
      <c r="B117" s="389"/>
      <c r="C117" s="402"/>
      <c r="D117" s="397"/>
      <c r="E117" s="397"/>
      <c r="F117" s="397"/>
      <c r="G117" s="397"/>
      <c r="H117" s="402"/>
      <c r="I117" s="402"/>
      <c r="J117" s="397"/>
      <c r="K117" s="397"/>
      <c r="L117" s="397"/>
      <c r="M117" s="397"/>
      <c r="N117" s="397"/>
      <c r="O117" s="397"/>
      <c r="P117" s="397"/>
      <c r="Q117" s="397"/>
      <c r="R117" s="402"/>
      <c r="S117" s="402"/>
      <c r="T117" s="397"/>
    </row>
    <row r="118" spans="1:20" ht="21" customHeight="1">
      <c r="A118" s="469"/>
      <c r="B118" s="389"/>
      <c r="C118" s="402"/>
      <c r="D118" s="397"/>
      <c r="E118" s="397"/>
      <c r="F118" s="397"/>
      <c r="G118" s="397"/>
      <c r="H118" s="402"/>
      <c r="I118" s="402"/>
      <c r="J118" s="397"/>
      <c r="K118" s="397"/>
      <c r="L118" s="397"/>
      <c r="M118" s="397"/>
      <c r="N118" s="397"/>
      <c r="O118" s="397"/>
      <c r="P118" s="397"/>
      <c r="Q118" s="397"/>
      <c r="R118" s="402"/>
      <c r="S118" s="402"/>
      <c r="T118" s="397"/>
    </row>
    <row r="119" spans="1:20" ht="21" customHeight="1">
      <c r="A119" s="469"/>
      <c r="B119" s="389"/>
      <c r="C119" s="402"/>
      <c r="D119" s="397"/>
      <c r="E119" s="397"/>
      <c r="F119" s="397"/>
      <c r="G119" s="397"/>
      <c r="H119" s="402"/>
      <c r="I119" s="402"/>
      <c r="J119" s="397"/>
      <c r="K119" s="397"/>
      <c r="L119" s="397"/>
      <c r="M119" s="397"/>
      <c r="N119" s="397"/>
      <c r="O119" s="397"/>
      <c r="P119" s="397"/>
      <c r="Q119" s="397"/>
      <c r="R119" s="402"/>
      <c r="S119" s="402"/>
      <c r="T119" s="397"/>
    </row>
    <row r="120" spans="1:20" ht="21" customHeight="1">
      <c r="A120" s="469"/>
      <c r="B120" s="389"/>
      <c r="C120" s="402"/>
      <c r="D120" s="397"/>
      <c r="E120" s="397"/>
      <c r="F120" s="397"/>
      <c r="G120" s="397"/>
      <c r="H120" s="402"/>
      <c r="I120" s="402"/>
      <c r="J120" s="397"/>
      <c r="K120" s="397"/>
      <c r="L120" s="397"/>
      <c r="M120" s="397"/>
      <c r="N120" s="397"/>
      <c r="O120" s="397"/>
      <c r="P120" s="397"/>
      <c r="Q120" s="397"/>
      <c r="R120" s="402"/>
      <c r="S120" s="402"/>
      <c r="T120" s="397"/>
    </row>
    <row r="121" spans="1:20" ht="15.75" customHeight="1">
      <c r="A121" s="469"/>
      <c r="B121" s="959" t="s">
        <v>539</v>
      </c>
      <c r="C121" s="959"/>
      <c r="D121" s="959"/>
      <c r="E121" s="470"/>
      <c r="F121" s="470"/>
      <c r="G121" s="470"/>
      <c r="H121" s="470"/>
      <c r="I121" s="470"/>
      <c r="J121" s="470"/>
      <c r="K121" s="470"/>
      <c r="L121" s="470"/>
      <c r="M121" s="470"/>
      <c r="N121" s="470"/>
      <c r="O121" s="470"/>
      <c r="P121" s="470"/>
      <c r="Q121" s="397"/>
      <c r="R121" s="402"/>
      <c r="S121" s="402"/>
      <c r="T121" s="382"/>
    </row>
    <row r="122" spans="1:20" ht="18.75">
      <c r="A122" s="469"/>
      <c r="B122" s="921"/>
      <c r="C122" s="921"/>
      <c r="D122" s="921"/>
      <c r="E122" s="921"/>
      <c r="F122" s="397"/>
      <c r="G122" s="397"/>
      <c r="H122" s="402"/>
      <c r="I122" s="402"/>
      <c r="J122" s="397"/>
      <c r="K122" s="397"/>
      <c r="L122" s="397"/>
      <c r="M122" s="397"/>
      <c r="N122" s="397"/>
      <c r="O122" s="384"/>
      <c r="P122" s="921" t="s">
        <v>565</v>
      </c>
      <c r="Q122" s="921"/>
      <c r="R122" s="921"/>
      <c r="S122" s="921"/>
      <c r="T122" s="921"/>
    </row>
    <row r="123" spans="2:20" ht="11.25">
      <c r="B123" s="944"/>
      <c r="C123" s="944"/>
      <c r="D123" s="944"/>
      <c r="E123" s="944"/>
      <c r="P123" s="944"/>
      <c r="Q123" s="944"/>
      <c r="R123" s="944"/>
      <c r="S123" s="944"/>
      <c r="T123" s="958"/>
    </row>
  </sheetData>
  <sheetProtection/>
  <mergeCells count="34">
    <mergeCell ref="B114:D114"/>
    <mergeCell ref="A11:B11"/>
    <mergeCell ref="A6:B9"/>
    <mergeCell ref="S6:S9"/>
    <mergeCell ref="C6:E6"/>
    <mergeCell ref="C7:C9"/>
    <mergeCell ref="P114:T114"/>
    <mergeCell ref="H6:R6"/>
    <mergeCell ref="A10:B10"/>
    <mergeCell ref="J8:Q8"/>
    <mergeCell ref="P115:T115"/>
    <mergeCell ref="P122:T122"/>
    <mergeCell ref="B123:E123"/>
    <mergeCell ref="P123:T123"/>
    <mergeCell ref="B122:E122"/>
    <mergeCell ref="B121:D121"/>
    <mergeCell ref="D7:E7"/>
    <mergeCell ref="D8:D9"/>
    <mergeCell ref="E8:E9"/>
    <mergeCell ref="H7:H9"/>
    <mergeCell ref="F6:F9"/>
    <mergeCell ref="G6:G9"/>
    <mergeCell ref="Q4:T4"/>
    <mergeCell ref="T6:T9"/>
    <mergeCell ref="I7:Q7"/>
    <mergeCell ref="R7:R9"/>
    <mergeCell ref="I8:I9"/>
    <mergeCell ref="Q5:T5"/>
    <mergeCell ref="A3:D3"/>
    <mergeCell ref="E1:P1"/>
    <mergeCell ref="E2:P2"/>
    <mergeCell ref="E3:P3"/>
    <mergeCell ref="A2:D2"/>
    <mergeCell ref="Q2:T2"/>
  </mergeCells>
  <conditionalFormatting sqref="C88:C89">
    <cfRule type="expression" priority="3" dxfId="0" stopIfTrue="1">
      <formula>$C$16&lt;&gt;$F$16+$H$16</formula>
    </cfRule>
  </conditionalFormatting>
  <printOptions/>
  <pageMargins left="0.24" right="0" top="0" bottom="0" header="0.511811023622047" footer="0.275590551181102"/>
  <pageSetup horizontalDpi="600" verticalDpi="600" orientation="landscape" paperSize="9" scale="76" r:id="rId4"/>
  <headerFooter alignWithMargins="0">
    <oddFooter>&amp;CPage &amp;P</oddFooter>
  </headerFooter>
  <ignoredErrors>
    <ignoredError sqref="C109" formula="1"/>
    <ignoredError sqref="C106 C90:G90 C68:G68 J90:R90 J68:R68" formula="1" unlockedFormula="1"/>
    <ignoredError sqref="S106:T106 D106:G106 C91:C94 C69:C71 J106:R106"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74" t="s">
        <v>29</v>
      </c>
      <c r="B1" s="674"/>
      <c r="C1" s="674"/>
      <c r="D1" s="674"/>
      <c r="E1" s="673" t="s">
        <v>370</v>
      </c>
      <c r="F1" s="673"/>
      <c r="G1" s="673"/>
      <c r="H1" s="673"/>
      <c r="I1" s="673"/>
      <c r="J1" s="673"/>
      <c r="K1" s="673"/>
      <c r="L1" s="31" t="s">
        <v>346</v>
      </c>
      <c r="M1" s="31"/>
      <c r="N1" s="31"/>
      <c r="O1" s="32"/>
      <c r="P1" s="32"/>
    </row>
    <row r="2" spans="1:16" ht="15.75" customHeight="1">
      <c r="A2" s="658" t="s">
        <v>237</v>
      </c>
      <c r="B2" s="658"/>
      <c r="C2" s="658"/>
      <c r="D2" s="658"/>
      <c r="E2" s="673"/>
      <c r="F2" s="673"/>
      <c r="G2" s="673"/>
      <c r="H2" s="673"/>
      <c r="I2" s="673"/>
      <c r="J2" s="673"/>
      <c r="K2" s="673"/>
      <c r="L2" s="675" t="s">
        <v>249</v>
      </c>
      <c r="M2" s="675"/>
      <c r="N2" s="675"/>
      <c r="O2" s="35"/>
      <c r="P2" s="32"/>
    </row>
    <row r="3" spans="1:16" ht="18" customHeight="1">
      <c r="A3" s="658" t="s">
        <v>238</v>
      </c>
      <c r="B3" s="658"/>
      <c r="C3" s="658"/>
      <c r="D3" s="658"/>
      <c r="E3" s="657" t="s">
        <v>366</v>
      </c>
      <c r="F3" s="657"/>
      <c r="G3" s="657"/>
      <c r="H3" s="657"/>
      <c r="I3" s="657"/>
      <c r="J3" s="657"/>
      <c r="K3" s="36"/>
      <c r="L3" s="676" t="s">
        <v>365</v>
      </c>
      <c r="M3" s="676"/>
      <c r="N3" s="676"/>
      <c r="O3" s="32"/>
      <c r="P3" s="32"/>
    </row>
    <row r="4" spans="1:16" ht="21" customHeight="1">
      <c r="A4" s="660" t="s">
        <v>252</v>
      </c>
      <c r="B4" s="660"/>
      <c r="C4" s="660"/>
      <c r="D4" s="660"/>
      <c r="E4" s="39"/>
      <c r="F4" s="40"/>
      <c r="G4" s="41"/>
      <c r="H4" s="41"/>
      <c r="I4" s="41"/>
      <c r="J4" s="41"/>
      <c r="K4" s="32"/>
      <c r="L4" s="675" t="s">
        <v>244</v>
      </c>
      <c r="M4" s="675"/>
      <c r="N4" s="675"/>
      <c r="O4" s="35"/>
      <c r="P4" s="32"/>
    </row>
    <row r="5" spans="1:16" ht="18" customHeight="1">
      <c r="A5" s="41"/>
      <c r="B5" s="32"/>
      <c r="C5" s="42"/>
      <c r="D5" s="677"/>
      <c r="E5" s="677"/>
      <c r="F5" s="677"/>
      <c r="G5" s="677"/>
      <c r="H5" s="677"/>
      <c r="I5" s="677"/>
      <c r="J5" s="677"/>
      <c r="K5" s="677"/>
      <c r="L5" s="43" t="s">
        <v>253</v>
      </c>
      <c r="M5" s="43"/>
      <c r="N5" s="43"/>
      <c r="O5" s="32"/>
      <c r="P5" s="32"/>
    </row>
    <row r="6" spans="1:18" ht="33" customHeight="1">
      <c r="A6" s="661" t="s">
        <v>55</v>
      </c>
      <c r="B6" s="662"/>
      <c r="C6" s="659" t="s">
        <v>254</v>
      </c>
      <c r="D6" s="659"/>
      <c r="E6" s="659"/>
      <c r="F6" s="659"/>
      <c r="G6" s="643" t="s">
        <v>7</v>
      </c>
      <c r="H6" s="644"/>
      <c r="I6" s="644"/>
      <c r="J6" s="644"/>
      <c r="K6" s="644"/>
      <c r="L6" s="644"/>
      <c r="M6" s="644"/>
      <c r="N6" s="645"/>
      <c r="O6" s="665" t="s">
        <v>255</v>
      </c>
      <c r="P6" s="666"/>
      <c r="Q6" s="666"/>
      <c r="R6" s="667"/>
    </row>
    <row r="7" spans="1:18" ht="29.25" customHeight="1">
      <c r="A7" s="663"/>
      <c r="B7" s="664"/>
      <c r="C7" s="659"/>
      <c r="D7" s="659"/>
      <c r="E7" s="659"/>
      <c r="F7" s="659"/>
      <c r="G7" s="643" t="s">
        <v>256</v>
      </c>
      <c r="H7" s="644"/>
      <c r="I7" s="644"/>
      <c r="J7" s="645"/>
      <c r="K7" s="643" t="s">
        <v>90</v>
      </c>
      <c r="L7" s="644"/>
      <c r="M7" s="644"/>
      <c r="N7" s="645"/>
      <c r="O7" s="45" t="s">
        <v>257</v>
      </c>
      <c r="P7" s="45" t="s">
        <v>258</v>
      </c>
      <c r="Q7" s="668" t="s">
        <v>259</v>
      </c>
      <c r="R7" s="668" t="s">
        <v>260</v>
      </c>
    </row>
    <row r="8" spans="1:18" ht="26.25" customHeight="1">
      <c r="A8" s="663"/>
      <c r="B8" s="664"/>
      <c r="C8" s="646" t="s">
        <v>87</v>
      </c>
      <c r="D8" s="680"/>
      <c r="E8" s="646" t="s">
        <v>86</v>
      </c>
      <c r="F8" s="680"/>
      <c r="G8" s="646" t="s">
        <v>88</v>
      </c>
      <c r="H8" s="647"/>
      <c r="I8" s="646" t="s">
        <v>89</v>
      </c>
      <c r="J8" s="647"/>
      <c r="K8" s="646" t="s">
        <v>91</v>
      </c>
      <c r="L8" s="647"/>
      <c r="M8" s="646" t="s">
        <v>92</v>
      </c>
      <c r="N8" s="647"/>
      <c r="O8" s="670" t="s">
        <v>261</v>
      </c>
      <c r="P8" s="671" t="s">
        <v>262</v>
      </c>
      <c r="Q8" s="668"/>
      <c r="R8" s="668"/>
    </row>
    <row r="9" spans="1:18" ht="30.75" customHeight="1">
      <c r="A9" s="663"/>
      <c r="B9" s="664"/>
      <c r="C9" s="46" t="s">
        <v>3</v>
      </c>
      <c r="D9" s="44" t="s">
        <v>9</v>
      </c>
      <c r="E9" s="44" t="s">
        <v>3</v>
      </c>
      <c r="F9" s="44" t="s">
        <v>9</v>
      </c>
      <c r="G9" s="47" t="s">
        <v>3</v>
      </c>
      <c r="H9" s="47" t="s">
        <v>9</v>
      </c>
      <c r="I9" s="47" t="s">
        <v>3</v>
      </c>
      <c r="J9" s="47" t="s">
        <v>9</v>
      </c>
      <c r="K9" s="47" t="s">
        <v>3</v>
      </c>
      <c r="L9" s="47" t="s">
        <v>9</v>
      </c>
      <c r="M9" s="47" t="s">
        <v>3</v>
      </c>
      <c r="N9" s="47" t="s">
        <v>9</v>
      </c>
      <c r="O9" s="670"/>
      <c r="P9" s="672"/>
      <c r="Q9" s="669"/>
      <c r="R9" s="669"/>
    </row>
    <row r="10" spans="1:18" s="52" customFormat="1" ht="18" customHeight="1">
      <c r="A10" s="650" t="s">
        <v>6</v>
      </c>
      <c r="B10" s="650"/>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655" t="s">
        <v>263</v>
      </c>
      <c r="B11" s="656"/>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81" t="s">
        <v>367</v>
      </c>
      <c r="B12" s="682"/>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51" t="s">
        <v>31</v>
      </c>
      <c r="B13" s="652"/>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264</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265</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266</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267</v>
      </c>
    </row>
    <row r="18" spans="1:18" s="70" customFormat="1" ht="18" customHeight="1">
      <c r="A18" s="66" t="s">
        <v>47</v>
      </c>
      <c r="B18" s="67" t="s">
        <v>268</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269</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270</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271</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272</v>
      </c>
      <c r="AK21" s="52" t="s">
        <v>273</v>
      </c>
      <c r="AL21" s="52" t="s">
        <v>274</v>
      </c>
      <c r="AM21" s="63" t="s">
        <v>275</v>
      </c>
    </row>
    <row r="22" spans="1:39" s="52" customFormat="1" ht="18" customHeight="1">
      <c r="A22" s="66" t="s">
        <v>59</v>
      </c>
      <c r="B22" s="67" t="s">
        <v>276</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277</v>
      </c>
    </row>
    <row r="23" spans="1:18" s="52" customFormat="1" ht="18" customHeight="1">
      <c r="A23" s="66" t="s">
        <v>60</v>
      </c>
      <c r="B23" s="67" t="s">
        <v>278</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279</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272</v>
      </c>
    </row>
    <row r="25" spans="1:36" s="52" customFormat="1" ht="18" customHeight="1">
      <c r="A25" s="66" t="s">
        <v>81</v>
      </c>
      <c r="B25" s="67" t="s">
        <v>280</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281</v>
      </c>
    </row>
    <row r="26" spans="1:44" s="52" customFormat="1" ht="18" customHeight="1">
      <c r="A26" s="66" t="s">
        <v>82</v>
      </c>
      <c r="B26" s="67" t="s">
        <v>282</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53" t="s">
        <v>368</v>
      </c>
      <c r="C28" s="653"/>
      <c r="D28" s="653"/>
      <c r="E28" s="653"/>
      <c r="F28" s="75"/>
      <c r="G28" s="76"/>
      <c r="H28" s="76"/>
      <c r="I28" s="76"/>
      <c r="J28" s="653" t="s">
        <v>369</v>
      </c>
      <c r="K28" s="653"/>
      <c r="L28" s="653"/>
      <c r="M28" s="653"/>
      <c r="N28" s="653"/>
      <c r="O28" s="77"/>
      <c r="P28" s="77"/>
      <c r="AG28" s="78" t="s">
        <v>284</v>
      </c>
      <c r="AI28" s="79">
        <f>82/88</f>
        <v>0.9318181818181818</v>
      </c>
    </row>
    <row r="29" spans="1:16" s="85" customFormat="1" ht="19.5" customHeight="1">
      <c r="A29" s="80"/>
      <c r="B29" s="654" t="s">
        <v>35</v>
      </c>
      <c r="C29" s="654"/>
      <c r="D29" s="654"/>
      <c r="E29" s="654"/>
      <c r="F29" s="82"/>
      <c r="G29" s="83"/>
      <c r="H29" s="83"/>
      <c r="I29" s="83"/>
      <c r="J29" s="654" t="s">
        <v>285</v>
      </c>
      <c r="K29" s="654"/>
      <c r="L29" s="654"/>
      <c r="M29" s="654"/>
      <c r="N29" s="654"/>
      <c r="O29" s="84"/>
      <c r="P29" s="84"/>
    </row>
    <row r="30" spans="1:16" s="85" customFormat="1" ht="19.5" customHeight="1">
      <c r="A30" s="80"/>
      <c r="B30" s="648"/>
      <c r="C30" s="648"/>
      <c r="D30" s="648"/>
      <c r="E30" s="82"/>
      <c r="F30" s="82"/>
      <c r="G30" s="83"/>
      <c r="H30" s="83"/>
      <c r="I30" s="83"/>
      <c r="J30" s="649"/>
      <c r="K30" s="649"/>
      <c r="L30" s="649"/>
      <c r="M30" s="649"/>
      <c r="N30" s="649"/>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642" t="s">
        <v>286</v>
      </c>
      <c r="C32" s="642"/>
      <c r="D32" s="642"/>
      <c r="E32" s="642"/>
      <c r="F32" s="87"/>
      <c r="G32" s="88"/>
      <c r="H32" s="88"/>
      <c r="I32" s="88"/>
      <c r="J32" s="641" t="s">
        <v>286</v>
      </c>
      <c r="K32" s="641"/>
      <c r="L32" s="641"/>
      <c r="M32" s="641"/>
      <c r="N32" s="641"/>
      <c r="O32" s="84"/>
      <c r="P32" s="84"/>
    </row>
    <row r="33" spans="1:16" s="85" customFormat="1" ht="19.5" customHeight="1">
      <c r="A33" s="80"/>
      <c r="B33" s="654" t="s">
        <v>287</v>
      </c>
      <c r="C33" s="654"/>
      <c r="D33" s="654"/>
      <c r="E33" s="654"/>
      <c r="F33" s="82"/>
      <c r="G33" s="83"/>
      <c r="H33" s="83"/>
      <c r="I33" s="83"/>
      <c r="J33" s="81"/>
      <c r="K33" s="654" t="s">
        <v>287</v>
      </c>
      <c r="L33" s="654"/>
      <c r="M33" s="654"/>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78" t="s">
        <v>240</v>
      </c>
      <c r="C36" s="678"/>
      <c r="D36" s="678"/>
      <c r="E36" s="678"/>
      <c r="F36" s="91"/>
      <c r="G36" s="91"/>
      <c r="H36" s="91"/>
      <c r="I36" s="91"/>
      <c r="J36" s="679" t="s">
        <v>241</v>
      </c>
      <c r="K36" s="679"/>
      <c r="L36" s="679"/>
      <c r="M36" s="679"/>
      <c r="N36" s="679"/>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12:B12"/>
    <mergeCell ref="I8:J8"/>
    <mergeCell ref="B33:E33"/>
    <mergeCell ref="K33:M33"/>
    <mergeCell ref="A1:D1"/>
    <mergeCell ref="L2:N2"/>
    <mergeCell ref="L3:N3"/>
    <mergeCell ref="L4:N4"/>
    <mergeCell ref="M8:N8"/>
    <mergeCell ref="K7:N7"/>
    <mergeCell ref="D5:K5"/>
    <mergeCell ref="G6:N6"/>
    <mergeCell ref="A2:D2"/>
    <mergeCell ref="O6:R6"/>
    <mergeCell ref="R7:R9"/>
    <mergeCell ref="Q7:Q9"/>
    <mergeCell ref="O8:O9"/>
    <mergeCell ref="P8:P9"/>
    <mergeCell ref="E1:K2"/>
    <mergeCell ref="J29:N29"/>
    <mergeCell ref="A11:B11"/>
    <mergeCell ref="E3:J3"/>
    <mergeCell ref="A3:D3"/>
    <mergeCell ref="C6:F7"/>
    <mergeCell ref="A4:D4"/>
    <mergeCell ref="A6:B9"/>
    <mergeCell ref="J32:N32"/>
    <mergeCell ref="B32:E32"/>
    <mergeCell ref="G7:J7"/>
    <mergeCell ref="K8:L8"/>
    <mergeCell ref="B30:D30"/>
    <mergeCell ref="J30:N30"/>
    <mergeCell ref="A10:B10"/>
    <mergeCell ref="A13:B13"/>
    <mergeCell ref="B28:E28"/>
    <mergeCell ref="J28:N2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83" t="s">
        <v>26</v>
      </c>
      <c r="B1" s="683"/>
      <c r="C1" s="98"/>
      <c r="D1" s="690" t="s">
        <v>347</v>
      </c>
      <c r="E1" s="690"/>
      <c r="F1" s="690"/>
      <c r="G1" s="690"/>
      <c r="H1" s="690"/>
      <c r="I1" s="690"/>
      <c r="J1" s="690"/>
      <c r="K1" s="690"/>
      <c r="L1" s="690"/>
      <c r="M1" s="708" t="s">
        <v>288</v>
      </c>
      <c r="N1" s="709"/>
      <c r="O1" s="709"/>
      <c r="P1" s="709"/>
    </row>
    <row r="2" spans="1:16" s="42" customFormat="1" ht="34.5" customHeight="1">
      <c r="A2" s="689" t="s">
        <v>289</v>
      </c>
      <c r="B2" s="689"/>
      <c r="C2" s="689"/>
      <c r="D2" s="690"/>
      <c r="E2" s="690"/>
      <c r="F2" s="690"/>
      <c r="G2" s="690"/>
      <c r="H2" s="690"/>
      <c r="I2" s="690"/>
      <c r="J2" s="690"/>
      <c r="K2" s="690"/>
      <c r="L2" s="690"/>
      <c r="M2" s="710" t="s">
        <v>348</v>
      </c>
      <c r="N2" s="711"/>
      <c r="O2" s="711"/>
      <c r="P2" s="711"/>
    </row>
    <row r="3" spans="1:16" s="42" customFormat="1" ht="19.5" customHeight="1">
      <c r="A3" s="688" t="s">
        <v>290</v>
      </c>
      <c r="B3" s="688"/>
      <c r="C3" s="688"/>
      <c r="D3" s="690"/>
      <c r="E3" s="690"/>
      <c r="F3" s="690"/>
      <c r="G3" s="690"/>
      <c r="H3" s="690"/>
      <c r="I3" s="690"/>
      <c r="J3" s="690"/>
      <c r="K3" s="690"/>
      <c r="L3" s="690"/>
      <c r="M3" s="710" t="s">
        <v>291</v>
      </c>
      <c r="N3" s="711"/>
      <c r="O3" s="711"/>
      <c r="P3" s="711"/>
    </row>
    <row r="4" spans="1:16" s="103" customFormat="1" ht="18.75" customHeight="1">
      <c r="A4" s="99"/>
      <c r="B4" s="99"/>
      <c r="C4" s="100"/>
      <c r="D4" s="677"/>
      <c r="E4" s="677"/>
      <c r="F4" s="677"/>
      <c r="G4" s="677"/>
      <c r="H4" s="677"/>
      <c r="I4" s="677"/>
      <c r="J4" s="677"/>
      <c r="K4" s="677"/>
      <c r="L4" s="677"/>
      <c r="M4" s="101" t="s">
        <v>292</v>
      </c>
      <c r="N4" s="102"/>
      <c r="O4" s="102"/>
      <c r="P4" s="102"/>
    </row>
    <row r="5" spans="1:16" ht="49.5" customHeight="1">
      <c r="A5" s="695" t="s">
        <v>55</v>
      </c>
      <c r="B5" s="696"/>
      <c r="C5" s="685" t="s">
        <v>80</v>
      </c>
      <c r="D5" s="686"/>
      <c r="E5" s="686"/>
      <c r="F5" s="686"/>
      <c r="G5" s="686"/>
      <c r="H5" s="686"/>
      <c r="I5" s="686"/>
      <c r="J5" s="686"/>
      <c r="K5" s="684" t="s">
        <v>79</v>
      </c>
      <c r="L5" s="684"/>
      <c r="M5" s="684"/>
      <c r="N5" s="684"/>
      <c r="O5" s="684"/>
      <c r="P5" s="684"/>
    </row>
    <row r="6" spans="1:16" ht="20.25" customHeight="1">
      <c r="A6" s="697"/>
      <c r="B6" s="698"/>
      <c r="C6" s="685" t="s">
        <v>3</v>
      </c>
      <c r="D6" s="686"/>
      <c r="E6" s="686"/>
      <c r="F6" s="687"/>
      <c r="G6" s="684" t="s">
        <v>9</v>
      </c>
      <c r="H6" s="684"/>
      <c r="I6" s="684"/>
      <c r="J6" s="684"/>
      <c r="K6" s="712" t="s">
        <v>3</v>
      </c>
      <c r="L6" s="712"/>
      <c r="M6" s="712"/>
      <c r="N6" s="707" t="s">
        <v>9</v>
      </c>
      <c r="O6" s="707"/>
      <c r="P6" s="707"/>
    </row>
    <row r="7" spans="1:16" ht="52.5" customHeight="1">
      <c r="A7" s="697"/>
      <c r="B7" s="698"/>
      <c r="C7" s="701" t="s">
        <v>293</v>
      </c>
      <c r="D7" s="686" t="s">
        <v>76</v>
      </c>
      <c r="E7" s="686"/>
      <c r="F7" s="687"/>
      <c r="G7" s="684" t="s">
        <v>294</v>
      </c>
      <c r="H7" s="684" t="s">
        <v>76</v>
      </c>
      <c r="I7" s="684"/>
      <c r="J7" s="684"/>
      <c r="K7" s="684" t="s">
        <v>32</v>
      </c>
      <c r="L7" s="684" t="s">
        <v>77</v>
      </c>
      <c r="M7" s="684"/>
      <c r="N7" s="684" t="s">
        <v>62</v>
      </c>
      <c r="O7" s="684" t="s">
        <v>77</v>
      </c>
      <c r="P7" s="684"/>
    </row>
    <row r="8" spans="1:16" ht="15.75" customHeight="1">
      <c r="A8" s="697"/>
      <c r="B8" s="698"/>
      <c r="C8" s="701"/>
      <c r="D8" s="684" t="s">
        <v>36</v>
      </c>
      <c r="E8" s="684" t="s">
        <v>37</v>
      </c>
      <c r="F8" s="684" t="s">
        <v>40</v>
      </c>
      <c r="G8" s="684"/>
      <c r="H8" s="684" t="s">
        <v>36</v>
      </c>
      <c r="I8" s="684" t="s">
        <v>37</v>
      </c>
      <c r="J8" s="684" t="s">
        <v>40</v>
      </c>
      <c r="K8" s="684"/>
      <c r="L8" s="684" t="s">
        <v>14</v>
      </c>
      <c r="M8" s="684" t="s">
        <v>13</v>
      </c>
      <c r="N8" s="684"/>
      <c r="O8" s="684" t="s">
        <v>14</v>
      </c>
      <c r="P8" s="684" t="s">
        <v>13</v>
      </c>
    </row>
    <row r="9" spans="1:16" ht="44.25" customHeight="1">
      <c r="A9" s="699"/>
      <c r="B9" s="700"/>
      <c r="C9" s="702"/>
      <c r="D9" s="684"/>
      <c r="E9" s="684"/>
      <c r="F9" s="684"/>
      <c r="G9" s="684"/>
      <c r="H9" s="684"/>
      <c r="I9" s="684"/>
      <c r="J9" s="684"/>
      <c r="K9" s="684"/>
      <c r="L9" s="684"/>
      <c r="M9" s="684"/>
      <c r="N9" s="684"/>
      <c r="O9" s="684"/>
      <c r="P9" s="684"/>
    </row>
    <row r="10" spans="1:16" ht="15" customHeight="1">
      <c r="A10" s="693" t="s">
        <v>6</v>
      </c>
      <c r="B10" s="694"/>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705" t="s">
        <v>295</v>
      </c>
      <c r="B11" s="706"/>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703" t="s">
        <v>296</v>
      </c>
      <c r="B12" s="704"/>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91" t="s">
        <v>33</v>
      </c>
      <c r="B13" s="692"/>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264</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265</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297</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267</v>
      </c>
    </row>
    <row r="18" spans="1:16" s="42" customFormat="1" ht="15" customHeight="1">
      <c r="A18" s="116" t="s">
        <v>47</v>
      </c>
      <c r="B18" s="117" t="s">
        <v>268</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269</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270</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271</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272</v>
      </c>
      <c r="AK21" s="42" t="s">
        <v>273</v>
      </c>
      <c r="AL21" s="42" t="s">
        <v>274</v>
      </c>
      <c r="AM21" s="113" t="s">
        <v>275</v>
      </c>
    </row>
    <row r="22" spans="1:39" s="42" customFormat="1" ht="15" customHeight="1">
      <c r="A22" s="116" t="s">
        <v>59</v>
      </c>
      <c r="B22" s="117" t="s">
        <v>276</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277</v>
      </c>
    </row>
    <row r="23" spans="1:16" s="42" customFormat="1" ht="15" customHeight="1">
      <c r="A23" s="116" t="s">
        <v>60</v>
      </c>
      <c r="B23" s="117" t="s">
        <v>278</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279</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272</v>
      </c>
    </row>
    <row r="25" spans="1:36" s="42" customFormat="1" ht="15" customHeight="1">
      <c r="A25" s="116" t="s">
        <v>81</v>
      </c>
      <c r="B25" s="117" t="s">
        <v>280</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281</v>
      </c>
    </row>
    <row r="26" spans="1:44" s="42" customFormat="1" ht="15" customHeight="1">
      <c r="A26" s="116" t="s">
        <v>82</v>
      </c>
      <c r="B26" s="117" t="s">
        <v>282</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718" t="s">
        <v>349</v>
      </c>
      <c r="C28" s="719"/>
      <c r="D28" s="719"/>
      <c r="E28" s="719"/>
      <c r="F28" s="123"/>
      <c r="G28" s="123"/>
      <c r="H28" s="123"/>
      <c r="I28" s="123"/>
      <c r="J28" s="123"/>
      <c r="K28" s="713" t="s">
        <v>350</v>
      </c>
      <c r="L28" s="713"/>
      <c r="M28" s="713"/>
      <c r="N28" s="713"/>
      <c r="O28" s="713"/>
      <c r="P28" s="713"/>
      <c r="AG28" s="73" t="s">
        <v>284</v>
      </c>
      <c r="AI28" s="113">
        <f>82/88</f>
        <v>0.9318181818181818</v>
      </c>
    </row>
    <row r="29" spans="2:16" ht="16.5">
      <c r="B29" s="719"/>
      <c r="C29" s="719"/>
      <c r="D29" s="719"/>
      <c r="E29" s="719"/>
      <c r="F29" s="123"/>
      <c r="G29" s="123"/>
      <c r="H29" s="123"/>
      <c r="I29" s="123"/>
      <c r="J29" s="123"/>
      <c r="K29" s="713"/>
      <c r="L29" s="713"/>
      <c r="M29" s="713"/>
      <c r="N29" s="713"/>
      <c r="O29" s="713"/>
      <c r="P29" s="713"/>
    </row>
    <row r="30" spans="2:16" ht="21" customHeight="1">
      <c r="B30" s="719"/>
      <c r="C30" s="719"/>
      <c r="D30" s="719"/>
      <c r="E30" s="719"/>
      <c r="F30" s="123"/>
      <c r="G30" s="123"/>
      <c r="H30" s="123"/>
      <c r="I30" s="123"/>
      <c r="J30" s="123"/>
      <c r="K30" s="713"/>
      <c r="L30" s="713"/>
      <c r="M30" s="713"/>
      <c r="N30" s="713"/>
      <c r="O30" s="713"/>
      <c r="P30" s="713"/>
    </row>
    <row r="32" spans="2:16" ht="16.5" customHeight="1">
      <c r="B32" s="721" t="s">
        <v>287</v>
      </c>
      <c r="C32" s="721"/>
      <c r="D32" s="721"/>
      <c r="E32" s="124"/>
      <c r="F32" s="124"/>
      <c r="G32" s="124"/>
      <c r="H32" s="124"/>
      <c r="I32" s="124"/>
      <c r="J32" s="124"/>
      <c r="K32" s="720" t="s">
        <v>351</v>
      </c>
      <c r="L32" s="720"/>
      <c r="M32" s="720"/>
      <c r="N32" s="720"/>
      <c r="O32" s="720"/>
      <c r="P32" s="720"/>
    </row>
    <row r="33" ht="12.75" customHeight="1"/>
    <row r="34" spans="2:5" ht="15.75">
      <c r="B34" s="125"/>
      <c r="C34" s="125"/>
      <c r="D34" s="125"/>
      <c r="E34" s="125"/>
    </row>
    <row r="35" ht="15.75" hidden="1"/>
    <row r="36" spans="2:16" ht="15.75">
      <c r="B36" s="716" t="s">
        <v>240</v>
      </c>
      <c r="C36" s="716"/>
      <c r="D36" s="716"/>
      <c r="E36" s="716"/>
      <c r="F36" s="126"/>
      <c r="G36" s="126"/>
      <c r="H36" s="126"/>
      <c r="I36" s="126"/>
      <c r="K36" s="717" t="s">
        <v>241</v>
      </c>
      <c r="L36" s="717"/>
      <c r="M36" s="717"/>
      <c r="N36" s="717"/>
      <c r="O36" s="717"/>
      <c r="P36" s="717"/>
    </row>
    <row r="39" ht="15.75">
      <c r="A39" s="128" t="s">
        <v>41</v>
      </c>
    </row>
    <row r="40" spans="1:6" ht="15.75">
      <c r="A40" s="129"/>
      <c r="B40" s="130" t="s">
        <v>48</v>
      </c>
      <c r="C40" s="130"/>
      <c r="D40" s="130"/>
      <c r="E40" s="130"/>
      <c r="F40" s="130"/>
    </row>
    <row r="41" spans="1:14" ht="15.75" customHeight="1">
      <c r="A41" s="131" t="s">
        <v>25</v>
      </c>
      <c r="B41" s="715" t="s">
        <v>51</v>
      </c>
      <c r="C41" s="715"/>
      <c r="D41" s="715"/>
      <c r="E41" s="715"/>
      <c r="F41" s="715"/>
      <c r="G41" s="131"/>
      <c r="H41" s="131"/>
      <c r="I41" s="131"/>
      <c r="J41" s="131"/>
      <c r="K41" s="131"/>
      <c r="L41" s="131"/>
      <c r="M41" s="131"/>
      <c r="N41" s="131"/>
    </row>
    <row r="42" spans="1:14" ht="15" customHeight="1">
      <c r="A42" s="131"/>
      <c r="B42" s="714" t="s">
        <v>52</v>
      </c>
      <c r="C42" s="714"/>
      <c r="D42" s="714"/>
      <c r="E42" s="714"/>
      <c r="F42" s="714"/>
      <c r="G42" s="714"/>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N6:P6"/>
    <mergeCell ref="O7:P7"/>
    <mergeCell ref="L7:M7"/>
    <mergeCell ref="M1:P1"/>
    <mergeCell ref="M2:P2"/>
    <mergeCell ref="M3:P3"/>
    <mergeCell ref="K6:M6"/>
    <mergeCell ref="D4:L4"/>
    <mergeCell ref="D7:F7"/>
    <mergeCell ref="K5:P5"/>
    <mergeCell ref="A11:B11"/>
    <mergeCell ref="P8:P9"/>
    <mergeCell ref="O8:O9"/>
    <mergeCell ref="N7:N9"/>
    <mergeCell ref="H8:H9"/>
    <mergeCell ref="L8:L9"/>
    <mergeCell ref="M8:M9"/>
    <mergeCell ref="A13:B13"/>
    <mergeCell ref="G7:G9"/>
    <mergeCell ref="A10:B10"/>
    <mergeCell ref="A5:B9"/>
    <mergeCell ref="C5:J5"/>
    <mergeCell ref="G6:J6"/>
    <mergeCell ref="C7:C9"/>
    <mergeCell ref="H7:J7"/>
    <mergeCell ref="D8:D9"/>
    <mergeCell ref="A12:B12"/>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74" t="s">
        <v>97</v>
      </c>
      <c r="B1" s="674"/>
      <c r="C1" s="674"/>
      <c r="D1" s="725" t="s">
        <v>352</v>
      </c>
      <c r="E1" s="725"/>
      <c r="F1" s="725"/>
      <c r="G1" s="725"/>
      <c r="H1" s="725"/>
      <c r="I1" s="725"/>
      <c r="J1" s="729" t="s">
        <v>353</v>
      </c>
      <c r="K1" s="730"/>
      <c r="L1" s="730"/>
    </row>
    <row r="2" spans="1:13" ht="15.75" customHeight="1">
      <c r="A2" s="731" t="s">
        <v>298</v>
      </c>
      <c r="B2" s="731"/>
      <c r="C2" s="731"/>
      <c r="D2" s="725"/>
      <c r="E2" s="725"/>
      <c r="F2" s="725"/>
      <c r="G2" s="725"/>
      <c r="H2" s="725"/>
      <c r="I2" s="725"/>
      <c r="J2" s="730" t="s">
        <v>299</v>
      </c>
      <c r="K2" s="730"/>
      <c r="L2" s="730"/>
      <c r="M2" s="133"/>
    </row>
    <row r="3" spans="1:13" ht="15.75" customHeight="1">
      <c r="A3" s="658" t="s">
        <v>250</v>
      </c>
      <c r="B3" s="658"/>
      <c r="C3" s="658"/>
      <c r="D3" s="725"/>
      <c r="E3" s="725"/>
      <c r="F3" s="725"/>
      <c r="G3" s="725"/>
      <c r="H3" s="725"/>
      <c r="I3" s="725"/>
      <c r="J3" s="729" t="s">
        <v>354</v>
      </c>
      <c r="K3" s="729"/>
      <c r="L3" s="729"/>
      <c r="M3" s="37"/>
    </row>
    <row r="4" spans="1:13" ht="15.75" customHeight="1">
      <c r="A4" s="728" t="s">
        <v>252</v>
      </c>
      <c r="B4" s="728"/>
      <c r="C4" s="728"/>
      <c r="D4" s="727"/>
      <c r="E4" s="727"/>
      <c r="F4" s="727"/>
      <c r="G4" s="727"/>
      <c r="H4" s="727"/>
      <c r="I4" s="727"/>
      <c r="J4" s="730" t="s">
        <v>300</v>
      </c>
      <c r="K4" s="730"/>
      <c r="L4" s="730"/>
      <c r="M4" s="133"/>
    </row>
    <row r="5" spans="1:13" ht="15.75">
      <c r="A5" s="134"/>
      <c r="B5" s="134"/>
      <c r="C5" s="34"/>
      <c r="D5" s="34"/>
      <c r="E5" s="34"/>
      <c r="F5" s="34"/>
      <c r="G5" s="34"/>
      <c r="H5" s="34"/>
      <c r="I5" s="34"/>
      <c r="J5" s="726" t="s">
        <v>8</v>
      </c>
      <c r="K5" s="726"/>
      <c r="L5" s="726"/>
      <c r="M5" s="133"/>
    </row>
    <row r="6" spans="1:14" ht="15.75">
      <c r="A6" s="734" t="s">
        <v>55</v>
      </c>
      <c r="B6" s="735"/>
      <c r="C6" s="684" t="s">
        <v>301</v>
      </c>
      <c r="D6" s="724" t="s">
        <v>302</v>
      </c>
      <c r="E6" s="724"/>
      <c r="F6" s="724"/>
      <c r="G6" s="724"/>
      <c r="H6" s="724"/>
      <c r="I6" s="724"/>
      <c r="J6" s="659" t="s">
        <v>95</v>
      </c>
      <c r="K6" s="659"/>
      <c r="L6" s="659"/>
      <c r="M6" s="722" t="s">
        <v>303</v>
      </c>
      <c r="N6" s="723" t="s">
        <v>304</v>
      </c>
    </row>
    <row r="7" spans="1:14" ht="15.75" customHeight="1">
      <c r="A7" s="736"/>
      <c r="B7" s="737"/>
      <c r="C7" s="684"/>
      <c r="D7" s="724" t="s">
        <v>7</v>
      </c>
      <c r="E7" s="724"/>
      <c r="F7" s="724"/>
      <c r="G7" s="724"/>
      <c r="H7" s="724"/>
      <c r="I7" s="724"/>
      <c r="J7" s="659"/>
      <c r="K7" s="659"/>
      <c r="L7" s="659"/>
      <c r="M7" s="722"/>
      <c r="N7" s="723"/>
    </row>
    <row r="8" spans="1:14" s="73" customFormat="1" ht="31.5" customHeight="1">
      <c r="A8" s="736"/>
      <c r="B8" s="737"/>
      <c r="C8" s="684"/>
      <c r="D8" s="659" t="s">
        <v>93</v>
      </c>
      <c r="E8" s="659" t="s">
        <v>94</v>
      </c>
      <c r="F8" s="659"/>
      <c r="G8" s="659"/>
      <c r="H8" s="659"/>
      <c r="I8" s="659"/>
      <c r="J8" s="659"/>
      <c r="K8" s="659"/>
      <c r="L8" s="659"/>
      <c r="M8" s="722"/>
      <c r="N8" s="723"/>
    </row>
    <row r="9" spans="1:14" s="73" customFormat="1" ht="15.75" customHeight="1">
      <c r="A9" s="736"/>
      <c r="B9" s="737"/>
      <c r="C9" s="684"/>
      <c r="D9" s="659"/>
      <c r="E9" s="659" t="s">
        <v>96</v>
      </c>
      <c r="F9" s="659" t="s">
        <v>7</v>
      </c>
      <c r="G9" s="659"/>
      <c r="H9" s="659"/>
      <c r="I9" s="659"/>
      <c r="J9" s="659" t="s">
        <v>7</v>
      </c>
      <c r="K9" s="659"/>
      <c r="L9" s="659"/>
      <c r="M9" s="722"/>
      <c r="N9" s="723"/>
    </row>
    <row r="10" spans="1:14" s="73" customFormat="1" ht="86.25" customHeight="1">
      <c r="A10" s="738"/>
      <c r="B10" s="739"/>
      <c r="C10" s="684"/>
      <c r="D10" s="659"/>
      <c r="E10" s="659"/>
      <c r="F10" s="104" t="s">
        <v>22</v>
      </c>
      <c r="G10" s="104" t="s">
        <v>24</v>
      </c>
      <c r="H10" s="104" t="s">
        <v>16</v>
      </c>
      <c r="I10" s="104" t="s">
        <v>23</v>
      </c>
      <c r="J10" s="104" t="s">
        <v>15</v>
      </c>
      <c r="K10" s="104" t="s">
        <v>20</v>
      </c>
      <c r="L10" s="104" t="s">
        <v>21</v>
      </c>
      <c r="M10" s="722"/>
      <c r="N10" s="723"/>
    </row>
    <row r="11" spans="1:32" ht="13.5" customHeight="1">
      <c r="A11" s="748" t="s">
        <v>5</v>
      </c>
      <c r="B11" s="749"/>
      <c r="C11" s="135">
        <v>1</v>
      </c>
      <c r="D11" s="135" t="s">
        <v>44</v>
      </c>
      <c r="E11" s="135" t="s">
        <v>47</v>
      </c>
      <c r="F11" s="135" t="s">
        <v>56</v>
      </c>
      <c r="G11" s="135" t="s">
        <v>57</v>
      </c>
      <c r="H11" s="135" t="s">
        <v>58</v>
      </c>
      <c r="I11" s="135" t="s">
        <v>59</v>
      </c>
      <c r="J11" s="135" t="s">
        <v>60</v>
      </c>
      <c r="K11" s="135" t="s">
        <v>61</v>
      </c>
      <c r="L11" s="135" t="s">
        <v>81</v>
      </c>
      <c r="M11" s="136"/>
      <c r="N11" s="137"/>
      <c r="AF11" s="33" t="s">
        <v>264</v>
      </c>
    </row>
    <row r="12" spans="1:14" ht="24" customHeight="1">
      <c r="A12" s="742" t="s">
        <v>295</v>
      </c>
      <c r="B12" s="743"/>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40" t="s">
        <v>251</v>
      </c>
      <c r="B13" s="741"/>
      <c r="C13" s="139">
        <v>59</v>
      </c>
      <c r="D13" s="139">
        <v>43</v>
      </c>
      <c r="E13" s="139">
        <v>0</v>
      </c>
      <c r="F13" s="139">
        <v>5</v>
      </c>
      <c r="G13" s="139">
        <v>2</v>
      </c>
      <c r="H13" s="139">
        <v>7</v>
      </c>
      <c r="I13" s="139">
        <v>2</v>
      </c>
      <c r="J13" s="139">
        <v>10</v>
      </c>
      <c r="K13" s="139">
        <v>44</v>
      </c>
      <c r="L13" s="139">
        <v>5</v>
      </c>
      <c r="M13" s="136"/>
      <c r="N13" s="137"/>
    </row>
    <row r="14" spans="1:37" s="52" customFormat="1" ht="16.5" customHeight="1">
      <c r="A14" s="746" t="s">
        <v>30</v>
      </c>
      <c r="B14" s="747"/>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265</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267</v>
      </c>
    </row>
    <row r="18" spans="1:14" s="148" customFormat="1" ht="16.5" customHeight="1">
      <c r="A18" s="147" t="s">
        <v>44</v>
      </c>
      <c r="B18" s="68" t="s">
        <v>297</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268</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269</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270</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272</v>
      </c>
      <c r="AK21" s="148" t="s">
        <v>273</v>
      </c>
      <c r="AL21" s="148" t="s">
        <v>274</v>
      </c>
      <c r="AM21" s="63" t="s">
        <v>275</v>
      </c>
    </row>
    <row r="22" spans="1:39" s="148" customFormat="1" ht="16.5" customHeight="1">
      <c r="A22" s="147" t="s">
        <v>58</v>
      </c>
      <c r="B22" s="68" t="s">
        <v>271</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277</v>
      </c>
    </row>
    <row r="23" spans="1:14" s="148" customFormat="1" ht="16.5" customHeight="1">
      <c r="A23" s="147" t="s">
        <v>59</v>
      </c>
      <c r="B23" s="68" t="s">
        <v>276</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278</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272</v>
      </c>
    </row>
    <row r="25" spans="1:36" s="148" customFormat="1" ht="16.5" customHeight="1">
      <c r="A25" s="147" t="s">
        <v>61</v>
      </c>
      <c r="B25" s="68" t="s">
        <v>279</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281</v>
      </c>
    </row>
    <row r="26" spans="1:44" s="70" customFormat="1" ht="16.5" customHeight="1">
      <c r="A26" s="151" t="s">
        <v>81</v>
      </c>
      <c r="B26" s="68" t="s">
        <v>280</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282</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284</v>
      </c>
      <c r="AI28" s="157">
        <f>82/88</f>
        <v>0.9318181818181818</v>
      </c>
    </row>
    <row r="29" spans="1:13" ht="16.5" customHeight="1">
      <c r="A29" s="653" t="s">
        <v>355</v>
      </c>
      <c r="B29" s="750"/>
      <c r="C29" s="750"/>
      <c r="D29" s="750"/>
      <c r="E29" s="158"/>
      <c r="F29" s="158"/>
      <c r="G29" s="158"/>
      <c r="H29" s="732" t="s">
        <v>305</v>
      </c>
      <c r="I29" s="732"/>
      <c r="J29" s="732"/>
      <c r="K29" s="732"/>
      <c r="L29" s="732"/>
      <c r="M29" s="159"/>
    </row>
    <row r="30" spans="1:12" ht="18.75">
      <c r="A30" s="750"/>
      <c r="B30" s="750"/>
      <c r="C30" s="750"/>
      <c r="D30" s="750"/>
      <c r="E30" s="158"/>
      <c r="F30" s="158"/>
      <c r="G30" s="158"/>
      <c r="H30" s="733" t="s">
        <v>306</v>
      </c>
      <c r="I30" s="733"/>
      <c r="J30" s="733"/>
      <c r="K30" s="733"/>
      <c r="L30" s="733"/>
    </row>
    <row r="31" spans="1:12" s="32" customFormat="1" ht="16.5" customHeight="1">
      <c r="A31" s="648"/>
      <c r="B31" s="648"/>
      <c r="C31" s="648"/>
      <c r="D31" s="648"/>
      <c r="E31" s="160"/>
      <c r="F31" s="160"/>
      <c r="G31" s="160"/>
      <c r="H31" s="649"/>
      <c r="I31" s="649"/>
      <c r="J31" s="649"/>
      <c r="K31" s="649"/>
      <c r="L31" s="649"/>
    </row>
    <row r="32" spans="1:12" ht="18.75">
      <c r="A32" s="89"/>
      <c r="B32" s="648" t="s">
        <v>287</v>
      </c>
      <c r="C32" s="648"/>
      <c r="D32" s="648"/>
      <c r="E32" s="160"/>
      <c r="F32" s="160"/>
      <c r="G32" s="160"/>
      <c r="H32" s="160"/>
      <c r="I32" s="751" t="s">
        <v>287</v>
      </c>
      <c r="J32" s="751"/>
      <c r="K32" s="751"/>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78" t="s">
        <v>240</v>
      </c>
      <c r="B37" s="678"/>
      <c r="C37" s="678"/>
      <c r="D37" s="678"/>
      <c r="E37" s="91"/>
      <c r="F37" s="91"/>
      <c r="G37" s="91"/>
      <c r="H37" s="679" t="s">
        <v>240</v>
      </c>
      <c r="I37" s="679"/>
      <c r="J37" s="679"/>
      <c r="K37" s="679"/>
      <c r="L37" s="679"/>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45" t="s">
        <v>48</v>
      </c>
      <c r="C40" s="745"/>
      <c r="D40" s="745"/>
      <c r="E40" s="745"/>
      <c r="F40" s="745"/>
      <c r="G40" s="745"/>
      <c r="H40" s="745"/>
      <c r="I40" s="745"/>
      <c r="J40" s="745"/>
      <c r="K40" s="745"/>
      <c r="L40" s="745"/>
    </row>
    <row r="41" spans="1:12" ht="16.5" customHeight="1">
      <c r="A41" s="165"/>
      <c r="B41" s="744" t="s">
        <v>50</v>
      </c>
      <c r="C41" s="744"/>
      <c r="D41" s="744"/>
      <c r="E41" s="744"/>
      <c r="F41" s="744"/>
      <c r="G41" s="744"/>
      <c r="H41" s="744"/>
      <c r="I41" s="744"/>
      <c r="J41" s="744"/>
      <c r="K41" s="744"/>
      <c r="L41" s="744"/>
    </row>
    <row r="42" ht="15.75">
      <c r="B42" s="38" t="s">
        <v>49</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A1:C1"/>
    <mergeCell ref="M6:M10"/>
    <mergeCell ref="N6:N10"/>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68" t="s">
        <v>128</v>
      </c>
      <c r="B1" s="768"/>
      <c r="C1" s="768"/>
      <c r="D1" s="763" t="s">
        <v>309</v>
      </c>
      <c r="E1" s="764"/>
      <c r="F1" s="764"/>
      <c r="G1" s="764"/>
      <c r="H1" s="764"/>
      <c r="I1" s="764"/>
      <c r="J1" s="764"/>
      <c r="K1" s="764"/>
      <c r="L1" s="764"/>
      <c r="M1" s="764"/>
      <c r="N1" s="764"/>
      <c r="O1" s="212"/>
      <c r="P1" s="169" t="s">
        <v>359</v>
      </c>
      <c r="Q1" s="168"/>
      <c r="R1" s="168"/>
      <c r="S1" s="168"/>
      <c r="T1" s="168"/>
      <c r="U1" s="212"/>
    </row>
    <row r="2" spans="1:21" ht="16.5" customHeight="1">
      <c r="A2" s="765" t="s">
        <v>310</v>
      </c>
      <c r="B2" s="765"/>
      <c r="C2" s="765"/>
      <c r="D2" s="764"/>
      <c r="E2" s="764"/>
      <c r="F2" s="764"/>
      <c r="G2" s="764"/>
      <c r="H2" s="764"/>
      <c r="I2" s="764"/>
      <c r="J2" s="764"/>
      <c r="K2" s="764"/>
      <c r="L2" s="764"/>
      <c r="M2" s="764"/>
      <c r="N2" s="764"/>
      <c r="O2" s="213"/>
      <c r="P2" s="756" t="s">
        <v>311</v>
      </c>
      <c r="Q2" s="756"/>
      <c r="R2" s="756"/>
      <c r="S2" s="756"/>
      <c r="T2" s="756"/>
      <c r="U2" s="213"/>
    </row>
    <row r="3" spans="1:21" ht="16.5" customHeight="1">
      <c r="A3" s="784" t="s">
        <v>312</v>
      </c>
      <c r="B3" s="784"/>
      <c r="C3" s="784"/>
      <c r="D3" s="769" t="s">
        <v>313</v>
      </c>
      <c r="E3" s="769"/>
      <c r="F3" s="769"/>
      <c r="G3" s="769"/>
      <c r="H3" s="769"/>
      <c r="I3" s="769"/>
      <c r="J3" s="769"/>
      <c r="K3" s="769"/>
      <c r="L3" s="769"/>
      <c r="M3" s="769"/>
      <c r="N3" s="769"/>
      <c r="O3" s="213"/>
      <c r="P3" s="173" t="s">
        <v>358</v>
      </c>
      <c r="Q3" s="213"/>
      <c r="R3" s="213"/>
      <c r="S3" s="213"/>
      <c r="T3" s="213"/>
      <c r="U3" s="213"/>
    </row>
    <row r="4" spans="1:21" ht="16.5" customHeight="1">
      <c r="A4" s="770" t="s">
        <v>252</v>
      </c>
      <c r="B4" s="770"/>
      <c r="C4" s="770"/>
      <c r="D4" s="791"/>
      <c r="E4" s="791"/>
      <c r="F4" s="791"/>
      <c r="G4" s="791"/>
      <c r="H4" s="791"/>
      <c r="I4" s="791"/>
      <c r="J4" s="791"/>
      <c r="K4" s="791"/>
      <c r="L4" s="791"/>
      <c r="M4" s="791"/>
      <c r="N4" s="791"/>
      <c r="O4" s="213"/>
      <c r="P4" s="172" t="s">
        <v>291</v>
      </c>
      <c r="Q4" s="213"/>
      <c r="R4" s="213"/>
      <c r="S4" s="213"/>
      <c r="T4" s="213"/>
      <c r="U4" s="213"/>
    </row>
    <row r="5" spans="12:21" ht="16.5" customHeight="1">
      <c r="L5" s="214"/>
      <c r="M5" s="214"/>
      <c r="N5" s="214"/>
      <c r="O5" s="176"/>
      <c r="P5" s="175" t="s">
        <v>314</v>
      </c>
      <c r="Q5" s="176"/>
      <c r="R5" s="176"/>
      <c r="S5" s="176"/>
      <c r="T5" s="176"/>
      <c r="U5" s="172"/>
    </row>
    <row r="6" spans="1:21" s="217" customFormat="1" ht="15.75" customHeight="1">
      <c r="A6" s="757" t="s">
        <v>55</v>
      </c>
      <c r="B6" s="758"/>
      <c r="C6" s="752" t="s">
        <v>129</v>
      </c>
      <c r="D6" s="766" t="s">
        <v>130</v>
      </c>
      <c r="E6" s="767"/>
      <c r="F6" s="767"/>
      <c r="G6" s="767"/>
      <c r="H6" s="767"/>
      <c r="I6" s="767"/>
      <c r="J6" s="767"/>
      <c r="K6" s="767"/>
      <c r="L6" s="767"/>
      <c r="M6" s="767"/>
      <c r="N6" s="767"/>
      <c r="O6" s="767"/>
      <c r="P6" s="767"/>
      <c r="Q6" s="767"/>
      <c r="R6" s="767"/>
      <c r="S6" s="767"/>
      <c r="T6" s="752" t="s">
        <v>131</v>
      </c>
      <c r="U6" s="216"/>
    </row>
    <row r="7" spans="1:20" s="218" customFormat="1" ht="12.75" customHeight="1">
      <c r="A7" s="759"/>
      <c r="B7" s="760"/>
      <c r="C7" s="752"/>
      <c r="D7" s="788" t="s">
        <v>126</v>
      </c>
      <c r="E7" s="767" t="s">
        <v>7</v>
      </c>
      <c r="F7" s="767"/>
      <c r="G7" s="767"/>
      <c r="H7" s="767"/>
      <c r="I7" s="767"/>
      <c r="J7" s="767"/>
      <c r="K7" s="767"/>
      <c r="L7" s="767"/>
      <c r="M7" s="767"/>
      <c r="N7" s="767"/>
      <c r="O7" s="767"/>
      <c r="P7" s="767"/>
      <c r="Q7" s="767"/>
      <c r="R7" s="767"/>
      <c r="S7" s="767"/>
      <c r="T7" s="752"/>
    </row>
    <row r="8" spans="1:21" s="218" customFormat="1" ht="43.5" customHeight="1">
      <c r="A8" s="759"/>
      <c r="B8" s="760"/>
      <c r="C8" s="752"/>
      <c r="D8" s="789"/>
      <c r="E8" s="755" t="s">
        <v>132</v>
      </c>
      <c r="F8" s="752"/>
      <c r="G8" s="752"/>
      <c r="H8" s="752" t="s">
        <v>133</v>
      </c>
      <c r="I8" s="752"/>
      <c r="J8" s="752"/>
      <c r="K8" s="752" t="s">
        <v>134</v>
      </c>
      <c r="L8" s="752"/>
      <c r="M8" s="752" t="s">
        <v>135</v>
      </c>
      <c r="N8" s="752"/>
      <c r="O8" s="752"/>
      <c r="P8" s="752" t="s">
        <v>136</v>
      </c>
      <c r="Q8" s="752" t="s">
        <v>137</v>
      </c>
      <c r="R8" s="752" t="s">
        <v>138</v>
      </c>
      <c r="S8" s="771" t="s">
        <v>139</v>
      </c>
      <c r="T8" s="752"/>
      <c r="U8" s="781" t="s">
        <v>315</v>
      </c>
    </row>
    <row r="9" spans="1:21" s="218" customFormat="1" ht="44.25" customHeight="1">
      <c r="A9" s="761"/>
      <c r="B9" s="762"/>
      <c r="C9" s="752"/>
      <c r="D9" s="790"/>
      <c r="E9" s="219" t="s">
        <v>140</v>
      </c>
      <c r="F9" s="215" t="s">
        <v>141</v>
      </c>
      <c r="G9" s="215" t="s">
        <v>316</v>
      </c>
      <c r="H9" s="215" t="s">
        <v>142</v>
      </c>
      <c r="I9" s="215" t="s">
        <v>143</v>
      </c>
      <c r="J9" s="215" t="s">
        <v>144</v>
      </c>
      <c r="K9" s="215" t="s">
        <v>141</v>
      </c>
      <c r="L9" s="215" t="s">
        <v>145</v>
      </c>
      <c r="M9" s="215" t="s">
        <v>146</v>
      </c>
      <c r="N9" s="215" t="s">
        <v>147</v>
      </c>
      <c r="O9" s="215" t="s">
        <v>317</v>
      </c>
      <c r="P9" s="752"/>
      <c r="Q9" s="752"/>
      <c r="R9" s="752"/>
      <c r="S9" s="771"/>
      <c r="T9" s="752"/>
      <c r="U9" s="782"/>
    </row>
    <row r="10" spans="1:21" s="222" customFormat="1" ht="15.75" customHeight="1">
      <c r="A10" s="785" t="s">
        <v>6</v>
      </c>
      <c r="B10" s="786"/>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82"/>
    </row>
    <row r="11" spans="1:21" s="222" customFormat="1" ht="15.75" customHeight="1">
      <c r="A11" s="753" t="s">
        <v>295</v>
      </c>
      <c r="B11" s="754"/>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83"/>
    </row>
    <row r="12" spans="1:21" s="222" customFormat="1" ht="15.75" customHeight="1">
      <c r="A12" s="772" t="s">
        <v>296</v>
      </c>
      <c r="B12" s="773"/>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78" t="s">
        <v>30</v>
      </c>
      <c r="B13" s="779"/>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265</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297</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268</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269</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270</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271</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276</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278</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279</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280</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282</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87" t="s">
        <v>283</v>
      </c>
      <c r="C28" s="787"/>
      <c r="D28" s="787"/>
      <c r="E28" s="787"/>
      <c r="F28" s="181"/>
      <c r="G28" s="181"/>
      <c r="H28" s="181"/>
      <c r="I28" s="181"/>
      <c r="J28" s="181"/>
      <c r="K28" s="181" t="s">
        <v>148</v>
      </c>
      <c r="L28" s="182"/>
      <c r="M28" s="792" t="s">
        <v>318</v>
      </c>
      <c r="N28" s="792"/>
      <c r="O28" s="792"/>
      <c r="P28" s="792"/>
      <c r="Q28" s="792"/>
      <c r="R28" s="792"/>
      <c r="S28" s="792"/>
      <c r="T28" s="792"/>
    </row>
    <row r="29" spans="1:20" s="233" customFormat="1" ht="18.75" customHeight="1">
      <c r="A29" s="232"/>
      <c r="B29" s="777" t="s">
        <v>149</v>
      </c>
      <c r="C29" s="777"/>
      <c r="D29" s="777"/>
      <c r="E29" s="234"/>
      <c r="F29" s="183"/>
      <c r="G29" s="183"/>
      <c r="H29" s="183"/>
      <c r="I29" s="183"/>
      <c r="J29" s="183"/>
      <c r="K29" s="183"/>
      <c r="L29" s="182"/>
      <c r="M29" s="780" t="s">
        <v>307</v>
      </c>
      <c r="N29" s="780"/>
      <c r="O29" s="780"/>
      <c r="P29" s="780"/>
      <c r="Q29" s="780"/>
      <c r="R29" s="780"/>
      <c r="S29" s="780"/>
      <c r="T29" s="780"/>
    </row>
    <row r="30" spans="1:20" s="233" customFormat="1" ht="18.75">
      <c r="A30" s="184"/>
      <c r="B30" s="774"/>
      <c r="C30" s="774"/>
      <c r="D30" s="774"/>
      <c r="E30" s="186"/>
      <c r="F30" s="186"/>
      <c r="G30" s="186"/>
      <c r="H30" s="186"/>
      <c r="I30" s="186"/>
      <c r="J30" s="186"/>
      <c r="K30" s="186"/>
      <c r="L30" s="186"/>
      <c r="M30" s="775"/>
      <c r="N30" s="775"/>
      <c r="O30" s="775"/>
      <c r="P30" s="775"/>
      <c r="Q30" s="775"/>
      <c r="R30" s="775"/>
      <c r="S30" s="775"/>
      <c r="T30" s="775"/>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151</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152</v>
      </c>
      <c r="C34" s="186"/>
      <c r="D34" s="186"/>
      <c r="E34" s="186"/>
      <c r="F34" s="186"/>
      <c r="G34" s="186"/>
      <c r="H34" s="186"/>
      <c r="I34" s="186"/>
      <c r="J34" s="186"/>
      <c r="K34" s="186"/>
      <c r="L34" s="186"/>
      <c r="M34" s="186"/>
      <c r="N34" s="186"/>
      <c r="O34" s="186"/>
      <c r="P34" s="186"/>
      <c r="Q34" s="186"/>
      <c r="R34" s="186"/>
      <c r="S34" s="186"/>
      <c r="T34" s="186"/>
    </row>
    <row r="35" spans="2:20" ht="18.75" hidden="1">
      <c r="B35" s="236" t="s">
        <v>153</v>
      </c>
      <c r="C35" s="186"/>
      <c r="D35" s="186"/>
      <c r="E35" s="186"/>
      <c r="F35" s="186"/>
      <c r="G35" s="186"/>
      <c r="H35" s="186"/>
      <c r="I35" s="186"/>
      <c r="J35" s="186"/>
      <c r="K35" s="186"/>
      <c r="L35" s="186"/>
      <c r="M35" s="186"/>
      <c r="N35" s="186"/>
      <c r="O35" s="186"/>
      <c r="P35" s="186"/>
      <c r="Q35" s="186"/>
      <c r="R35" s="186"/>
      <c r="S35" s="186"/>
      <c r="T35" s="186"/>
    </row>
    <row r="36" spans="2:20" s="211" customFormat="1" ht="18.75">
      <c r="B36" s="776" t="s">
        <v>287</v>
      </c>
      <c r="C36" s="776"/>
      <c r="D36" s="776"/>
      <c r="E36" s="236"/>
      <c r="F36" s="236"/>
      <c r="G36" s="236"/>
      <c r="H36" s="236"/>
      <c r="I36" s="236"/>
      <c r="J36" s="236"/>
      <c r="K36" s="236"/>
      <c r="L36" s="236"/>
      <c r="M36" s="236"/>
      <c r="N36" s="776" t="s">
        <v>287</v>
      </c>
      <c r="O36" s="776"/>
      <c r="P36" s="776"/>
      <c r="Q36" s="776"/>
      <c r="R36" s="776"/>
      <c r="S36" s="776"/>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78" t="s">
        <v>240</v>
      </c>
      <c r="C38" s="678"/>
      <c r="D38" s="678"/>
      <c r="E38" s="210"/>
      <c r="F38" s="210"/>
      <c r="G38" s="210"/>
      <c r="H38" s="210"/>
      <c r="I38" s="182"/>
      <c r="J38" s="182"/>
      <c r="K38" s="182"/>
      <c r="L38" s="182"/>
      <c r="M38" s="679" t="s">
        <v>241</v>
      </c>
      <c r="N38" s="679"/>
      <c r="O38" s="679"/>
      <c r="P38" s="679"/>
      <c r="Q38" s="679"/>
      <c r="R38" s="679"/>
      <c r="S38" s="679"/>
      <c r="T38" s="679"/>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800" t="s">
        <v>154</v>
      </c>
      <c r="B1" s="800"/>
      <c r="C1" s="800"/>
      <c r="D1" s="238"/>
      <c r="E1" s="805" t="s">
        <v>155</v>
      </c>
      <c r="F1" s="805"/>
      <c r="G1" s="805"/>
      <c r="H1" s="805"/>
      <c r="I1" s="805"/>
      <c r="J1" s="805"/>
      <c r="K1" s="805"/>
      <c r="L1" s="805"/>
      <c r="M1" s="805"/>
      <c r="N1" s="805"/>
      <c r="O1" s="191"/>
      <c r="P1" s="795" t="s">
        <v>357</v>
      </c>
      <c r="Q1" s="795"/>
      <c r="R1" s="795"/>
      <c r="S1" s="795"/>
      <c r="T1" s="795"/>
    </row>
    <row r="2" spans="1:20" ht="15.75" customHeight="1">
      <c r="A2" s="801" t="s">
        <v>319</v>
      </c>
      <c r="B2" s="801"/>
      <c r="C2" s="801"/>
      <c r="D2" s="801"/>
      <c r="E2" s="803" t="s">
        <v>156</v>
      </c>
      <c r="F2" s="803"/>
      <c r="G2" s="803"/>
      <c r="H2" s="803"/>
      <c r="I2" s="803"/>
      <c r="J2" s="803"/>
      <c r="K2" s="803"/>
      <c r="L2" s="803"/>
      <c r="M2" s="803"/>
      <c r="N2" s="803"/>
      <c r="O2" s="194"/>
      <c r="P2" s="796" t="s">
        <v>299</v>
      </c>
      <c r="Q2" s="796"/>
      <c r="R2" s="796"/>
      <c r="S2" s="796"/>
      <c r="T2" s="796"/>
    </row>
    <row r="3" spans="1:20" ht="17.25">
      <c r="A3" s="801" t="s">
        <v>250</v>
      </c>
      <c r="B3" s="801"/>
      <c r="C3" s="801"/>
      <c r="D3" s="239"/>
      <c r="E3" s="806" t="s">
        <v>251</v>
      </c>
      <c r="F3" s="806"/>
      <c r="G3" s="806"/>
      <c r="H3" s="806"/>
      <c r="I3" s="806"/>
      <c r="J3" s="806"/>
      <c r="K3" s="806"/>
      <c r="L3" s="806"/>
      <c r="M3" s="806"/>
      <c r="N3" s="806"/>
      <c r="O3" s="194"/>
      <c r="P3" s="797" t="s">
        <v>358</v>
      </c>
      <c r="Q3" s="797"/>
      <c r="R3" s="797"/>
      <c r="S3" s="797"/>
      <c r="T3" s="797"/>
    </row>
    <row r="4" spans="1:20" ht="18.75" customHeight="1">
      <c r="A4" s="802" t="s">
        <v>252</v>
      </c>
      <c r="B4" s="802"/>
      <c r="C4" s="802"/>
      <c r="D4" s="804"/>
      <c r="E4" s="804"/>
      <c r="F4" s="804"/>
      <c r="G4" s="804"/>
      <c r="H4" s="804"/>
      <c r="I4" s="804"/>
      <c r="J4" s="804"/>
      <c r="K4" s="804"/>
      <c r="L4" s="804"/>
      <c r="M4" s="804"/>
      <c r="N4" s="804"/>
      <c r="O4" s="195"/>
      <c r="P4" s="796" t="s">
        <v>291</v>
      </c>
      <c r="Q4" s="797"/>
      <c r="R4" s="797"/>
      <c r="S4" s="797"/>
      <c r="T4" s="797"/>
    </row>
    <row r="5" spans="1:23" ht="15">
      <c r="A5" s="208"/>
      <c r="B5" s="208"/>
      <c r="C5" s="240"/>
      <c r="D5" s="240"/>
      <c r="E5" s="208"/>
      <c r="F5" s="208"/>
      <c r="G5" s="208"/>
      <c r="H5" s="208"/>
      <c r="I5" s="208"/>
      <c r="J5" s="208"/>
      <c r="K5" s="208"/>
      <c r="L5" s="208"/>
      <c r="P5" s="816" t="s">
        <v>314</v>
      </c>
      <c r="Q5" s="816"/>
      <c r="R5" s="816"/>
      <c r="S5" s="816"/>
      <c r="T5" s="816"/>
      <c r="U5" s="241"/>
      <c r="V5" s="241"/>
      <c r="W5" s="241"/>
    </row>
    <row r="6" spans="1:23" ht="29.25" customHeight="1">
      <c r="A6" s="757" t="s">
        <v>55</v>
      </c>
      <c r="B6" s="833"/>
      <c r="C6" s="828" t="s">
        <v>2</v>
      </c>
      <c r="D6" s="817" t="s">
        <v>157</v>
      </c>
      <c r="E6" s="818"/>
      <c r="F6" s="818"/>
      <c r="G6" s="818"/>
      <c r="H6" s="818"/>
      <c r="I6" s="818"/>
      <c r="J6" s="819"/>
      <c r="K6" s="822" t="s">
        <v>158</v>
      </c>
      <c r="L6" s="823"/>
      <c r="M6" s="823"/>
      <c r="N6" s="823"/>
      <c r="O6" s="823"/>
      <c r="P6" s="823"/>
      <c r="Q6" s="823"/>
      <c r="R6" s="823"/>
      <c r="S6" s="823"/>
      <c r="T6" s="824"/>
      <c r="U6" s="242"/>
      <c r="V6" s="243"/>
      <c r="W6" s="243"/>
    </row>
    <row r="7" spans="1:20" ht="19.5" customHeight="1">
      <c r="A7" s="759"/>
      <c r="B7" s="834"/>
      <c r="C7" s="829"/>
      <c r="D7" s="818" t="s">
        <v>7</v>
      </c>
      <c r="E7" s="818"/>
      <c r="F7" s="818"/>
      <c r="G7" s="818"/>
      <c r="H7" s="818"/>
      <c r="I7" s="818"/>
      <c r="J7" s="819"/>
      <c r="K7" s="825"/>
      <c r="L7" s="826"/>
      <c r="M7" s="826"/>
      <c r="N7" s="826"/>
      <c r="O7" s="826"/>
      <c r="P7" s="826"/>
      <c r="Q7" s="826"/>
      <c r="R7" s="826"/>
      <c r="S7" s="826"/>
      <c r="T7" s="827"/>
    </row>
    <row r="8" spans="1:20" ht="33" customHeight="1">
      <c r="A8" s="759"/>
      <c r="B8" s="834"/>
      <c r="C8" s="829"/>
      <c r="D8" s="809" t="s">
        <v>159</v>
      </c>
      <c r="E8" s="810"/>
      <c r="F8" s="794" t="s">
        <v>160</v>
      </c>
      <c r="G8" s="810"/>
      <c r="H8" s="794" t="s">
        <v>161</v>
      </c>
      <c r="I8" s="810"/>
      <c r="J8" s="794" t="s">
        <v>162</v>
      </c>
      <c r="K8" s="793" t="s">
        <v>163</v>
      </c>
      <c r="L8" s="793"/>
      <c r="M8" s="793"/>
      <c r="N8" s="793" t="s">
        <v>164</v>
      </c>
      <c r="O8" s="793"/>
      <c r="P8" s="793"/>
      <c r="Q8" s="794" t="s">
        <v>165</v>
      </c>
      <c r="R8" s="798" t="s">
        <v>166</v>
      </c>
      <c r="S8" s="798" t="s">
        <v>167</v>
      </c>
      <c r="T8" s="794" t="s">
        <v>168</v>
      </c>
    </row>
    <row r="9" spans="1:20" ht="18.75" customHeight="1">
      <c r="A9" s="759"/>
      <c r="B9" s="834"/>
      <c r="C9" s="829"/>
      <c r="D9" s="809" t="s">
        <v>169</v>
      </c>
      <c r="E9" s="794" t="s">
        <v>170</v>
      </c>
      <c r="F9" s="794" t="s">
        <v>169</v>
      </c>
      <c r="G9" s="794" t="s">
        <v>170</v>
      </c>
      <c r="H9" s="794" t="s">
        <v>169</v>
      </c>
      <c r="I9" s="794" t="s">
        <v>171</v>
      </c>
      <c r="J9" s="794"/>
      <c r="K9" s="793"/>
      <c r="L9" s="793"/>
      <c r="M9" s="793"/>
      <c r="N9" s="793"/>
      <c r="O9" s="793"/>
      <c r="P9" s="793"/>
      <c r="Q9" s="794"/>
      <c r="R9" s="798"/>
      <c r="S9" s="798"/>
      <c r="T9" s="794"/>
    </row>
    <row r="10" spans="1:20" ht="23.25" customHeight="1">
      <c r="A10" s="761"/>
      <c r="B10" s="835"/>
      <c r="C10" s="830"/>
      <c r="D10" s="809"/>
      <c r="E10" s="794"/>
      <c r="F10" s="794"/>
      <c r="G10" s="794"/>
      <c r="H10" s="794"/>
      <c r="I10" s="794"/>
      <c r="J10" s="794"/>
      <c r="K10" s="244" t="s">
        <v>172</v>
      </c>
      <c r="L10" s="244" t="s">
        <v>147</v>
      </c>
      <c r="M10" s="244" t="s">
        <v>173</v>
      </c>
      <c r="N10" s="244" t="s">
        <v>172</v>
      </c>
      <c r="O10" s="244" t="s">
        <v>174</v>
      </c>
      <c r="P10" s="244" t="s">
        <v>175</v>
      </c>
      <c r="Q10" s="794"/>
      <c r="R10" s="798"/>
      <c r="S10" s="798"/>
      <c r="T10" s="794"/>
    </row>
    <row r="11" spans="1:32" s="201" customFormat="1" ht="17.25" customHeight="1">
      <c r="A11" s="831" t="s">
        <v>6</v>
      </c>
      <c r="B11" s="832"/>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820" t="s">
        <v>320</v>
      </c>
      <c r="B12" s="821"/>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807" t="s">
        <v>296</v>
      </c>
      <c r="B13" s="808"/>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815" t="s">
        <v>176</v>
      </c>
      <c r="B14" s="809"/>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265</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297</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268</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269</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270</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271</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276</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278</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279</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280</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282</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284</v>
      </c>
      <c r="AI28" s="190">
        <f>82/88</f>
        <v>0.9318181818181818</v>
      </c>
    </row>
    <row r="29" spans="1:20" ht="15.75" customHeight="1">
      <c r="A29" s="202"/>
      <c r="B29" s="812" t="s">
        <v>308</v>
      </c>
      <c r="C29" s="812"/>
      <c r="D29" s="812"/>
      <c r="E29" s="812"/>
      <c r="F29" s="258"/>
      <c r="G29" s="258"/>
      <c r="H29" s="258"/>
      <c r="I29" s="258"/>
      <c r="J29" s="258"/>
      <c r="K29" s="258"/>
      <c r="L29" s="206"/>
      <c r="M29" s="811" t="s">
        <v>321</v>
      </c>
      <c r="N29" s="811"/>
      <c r="O29" s="811"/>
      <c r="P29" s="811"/>
      <c r="Q29" s="811"/>
      <c r="R29" s="811"/>
      <c r="S29" s="811"/>
      <c r="T29" s="811"/>
    </row>
    <row r="30" spans="1:20" ht="18.75" customHeight="1">
      <c r="A30" s="202"/>
      <c r="B30" s="813" t="s">
        <v>149</v>
      </c>
      <c r="C30" s="813"/>
      <c r="D30" s="813"/>
      <c r="E30" s="813"/>
      <c r="F30" s="205"/>
      <c r="G30" s="205"/>
      <c r="H30" s="205"/>
      <c r="I30" s="205"/>
      <c r="J30" s="205"/>
      <c r="K30" s="205"/>
      <c r="L30" s="206"/>
      <c r="M30" s="814" t="s">
        <v>150</v>
      </c>
      <c r="N30" s="814"/>
      <c r="O30" s="814"/>
      <c r="P30" s="814"/>
      <c r="Q30" s="814"/>
      <c r="R30" s="814"/>
      <c r="S30" s="814"/>
      <c r="T30" s="814"/>
    </row>
    <row r="31" spans="1:20" ht="18.75">
      <c r="A31" s="208"/>
      <c r="B31" s="774"/>
      <c r="C31" s="774"/>
      <c r="D31" s="774"/>
      <c r="E31" s="774"/>
      <c r="F31" s="209"/>
      <c r="G31" s="209"/>
      <c r="H31" s="209"/>
      <c r="I31" s="209"/>
      <c r="J31" s="209"/>
      <c r="K31" s="209"/>
      <c r="L31" s="209"/>
      <c r="M31" s="775"/>
      <c r="N31" s="775"/>
      <c r="O31" s="775"/>
      <c r="P31" s="775"/>
      <c r="Q31" s="775"/>
      <c r="R31" s="775"/>
      <c r="S31" s="775"/>
      <c r="T31" s="775"/>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99" t="s">
        <v>287</v>
      </c>
      <c r="C33" s="799"/>
      <c r="D33" s="799"/>
      <c r="E33" s="799"/>
      <c r="F33" s="799"/>
      <c r="G33" s="259"/>
      <c r="H33" s="259"/>
      <c r="I33" s="259"/>
      <c r="J33" s="259"/>
      <c r="K33" s="259"/>
      <c r="L33" s="259"/>
      <c r="M33" s="259"/>
      <c r="N33" s="799" t="s">
        <v>287</v>
      </c>
      <c r="O33" s="799"/>
      <c r="P33" s="799"/>
      <c r="Q33" s="799"/>
      <c r="R33" s="799"/>
      <c r="S33" s="799"/>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78" t="s">
        <v>240</v>
      </c>
      <c r="C35" s="678"/>
      <c r="D35" s="678"/>
      <c r="E35" s="678"/>
      <c r="F35" s="210"/>
      <c r="G35" s="210"/>
      <c r="H35" s="210"/>
      <c r="I35" s="182"/>
      <c r="J35" s="182"/>
      <c r="K35" s="182"/>
      <c r="L35" s="182"/>
      <c r="M35" s="679" t="s">
        <v>241</v>
      </c>
      <c r="N35" s="679"/>
      <c r="O35" s="679"/>
      <c r="P35" s="679"/>
      <c r="Q35" s="679"/>
      <c r="R35" s="679"/>
      <c r="S35" s="679"/>
      <c r="T35" s="679"/>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125</v>
      </c>
    </row>
    <row r="39" spans="2:8" s="262" customFormat="1" ht="15" hidden="1">
      <c r="B39" s="263" t="s">
        <v>177</v>
      </c>
      <c r="C39" s="263"/>
      <c r="D39" s="263"/>
      <c r="E39" s="263"/>
      <c r="F39" s="263"/>
      <c r="G39" s="263"/>
      <c r="H39" s="263"/>
    </row>
    <row r="40" spans="2:8" s="264" customFormat="1" ht="15" hidden="1">
      <c r="B40" s="263" t="s">
        <v>178</v>
      </c>
      <c r="C40" s="189"/>
      <c r="D40" s="189"/>
      <c r="E40" s="189"/>
      <c r="F40" s="189"/>
      <c r="G40" s="189"/>
      <c r="H40" s="189"/>
    </row>
    <row r="41" ht="12.75" hidden="1"/>
    <row r="42" ht="12.75" hidden="1"/>
    <row r="43" ht="12.75" hidden="1"/>
    <row r="44" ht="12.75" hidden="1"/>
    <row r="45" ht="12.75" hidden="1"/>
  </sheetData>
  <sheetProtection/>
  <mergeCells count="48">
    <mergeCell ref="C6:C10"/>
    <mergeCell ref="E9:E10"/>
    <mergeCell ref="A11:B11"/>
    <mergeCell ref="F9:F10"/>
    <mergeCell ref="A6:B10"/>
    <mergeCell ref="D9:D10"/>
    <mergeCell ref="D7:J7"/>
    <mergeCell ref="F8:G8"/>
    <mergeCell ref="H9:H10"/>
    <mergeCell ref="G9:G10"/>
    <mergeCell ref="H8:I8"/>
    <mergeCell ref="I9:I10"/>
    <mergeCell ref="A14:B14"/>
    <mergeCell ref="P5:T5"/>
    <mergeCell ref="D6:J6"/>
    <mergeCell ref="A12:B12"/>
    <mergeCell ref="N8:P9"/>
    <mergeCell ref="Q8:Q10"/>
    <mergeCell ref="R8:R10"/>
    <mergeCell ref="K6:T7"/>
    <mergeCell ref="A13:B13"/>
    <mergeCell ref="D8:E8"/>
    <mergeCell ref="M35:T35"/>
    <mergeCell ref="M29:T29"/>
    <mergeCell ref="B35:E35"/>
    <mergeCell ref="B29:E29"/>
    <mergeCell ref="B30:E30"/>
    <mergeCell ref="B31:E31"/>
    <mergeCell ref="M30:T30"/>
    <mergeCell ref="M31:T31"/>
    <mergeCell ref="B33:F33"/>
    <mergeCell ref="N33:S33"/>
    <mergeCell ref="A1:C1"/>
    <mergeCell ref="A3:C3"/>
    <mergeCell ref="A4:C4"/>
    <mergeCell ref="E2:N2"/>
    <mergeCell ref="A2:D2"/>
    <mergeCell ref="D4:N4"/>
    <mergeCell ref="E1:N1"/>
    <mergeCell ref="E3:N3"/>
    <mergeCell ref="K8:M9"/>
    <mergeCell ref="J8:J10"/>
    <mergeCell ref="P1:T1"/>
    <mergeCell ref="P2:T2"/>
    <mergeCell ref="P3:T3"/>
    <mergeCell ref="P4:T4"/>
    <mergeCell ref="T8:T10"/>
    <mergeCell ref="S8:S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42" t="s">
        <v>179</v>
      </c>
      <c r="B1" s="842"/>
      <c r="C1" s="842"/>
      <c r="D1" s="845" t="s">
        <v>360</v>
      </c>
      <c r="E1" s="845"/>
      <c r="F1" s="845"/>
      <c r="G1" s="845"/>
      <c r="H1" s="845"/>
      <c r="I1" s="845"/>
      <c r="J1" s="846" t="s">
        <v>361</v>
      </c>
      <c r="K1" s="847"/>
      <c r="L1" s="847"/>
    </row>
    <row r="2" spans="1:12" ht="34.5" customHeight="1">
      <c r="A2" s="848" t="s">
        <v>322</v>
      </c>
      <c r="B2" s="848"/>
      <c r="C2" s="848"/>
      <c r="D2" s="845"/>
      <c r="E2" s="845"/>
      <c r="F2" s="845"/>
      <c r="G2" s="845"/>
      <c r="H2" s="845"/>
      <c r="I2" s="845"/>
      <c r="J2" s="849" t="s">
        <v>362</v>
      </c>
      <c r="K2" s="850"/>
      <c r="L2" s="850"/>
    </row>
    <row r="3" spans="1:12" ht="15" customHeight="1">
      <c r="A3" s="265" t="s">
        <v>252</v>
      </c>
      <c r="B3" s="174"/>
      <c r="C3" s="851"/>
      <c r="D3" s="851"/>
      <c r="E3" s="851"/>
      <c r="F3" s="851"/>
      <c r="G3" s="851"/>
      <c r="H3" s="851"/>
      <c r="I3" s="851"/>
      <c r="J3" s="843"/>
      <c r="K3" s="844"/>
      <c r="L3" s="844"/>
    </row>
    <row r="4" spans="1:12" ht="15.75" customHeight="1">
      <c r="A4" s="266"/>
      <c r="B4" s="266"/>
      <c r="C4" s="267"/>
      <c r="D4" s="267"/>
      <c r="E4" s="170"/>
      <c r="F4" s="170"/>
      <c r="G4" s="170"/>
      <c r="H4" s="268"/>
      <c r="I4" s="268"/>
      <c r="J4" s="852" t="s">
        <v>180</v>
      </c>
      <c r="K4" s="852"/>
      <c r="L4" s="852"/>
    </row>
    <row r="5" spans="1:12" s="269" customFormat="1" ht="28.5" customHeight="1">
      <c r="A5" s="837" t="s">
        <v>55</v>
      </c>
      <c r="B5" s="837"/>
      <c r="C5" s="752" t="s">
        <v>31</v>
      </c>
      <c r="D5" s="752" t="s">
        <v>181</v>
      </c>
      <c r="E5" s="752"/>
      <c r="F5" s="752"/>
      <c r="G5" s="752"/>
      <c r="H5" s="752" t="s">
        <v>182</v>
      </c>
      <c r="I5" s="752"/>
      <c r="J5" s="752" t="s">
        <v>183</v>
      </c>
      <c r="K5" s="752"/>
      <c r="L5" s="752"/>
    </row>
    <row r="6" spans="1:13" s="269" customFormat="1" ht="80.25" customHeight="1">
      <c r="A6" s="837"/>
      <c r="B6" s="837"/>
      <c r="C6" s="752"/>
      <c r="D6" s="215" t="s">
        <v>184</v>
      </c>
      <c r="E6" s="215" t="s">
        <v>185</v>
      </c>
      <c r="F6" s="215" t="s">
        <v>323</v>
      </c>
      <c r="G6" s="215" t="s">
        <v>186</v>
      </c>
      <c r="H6" s="215" t="s">
        <v>187</v>
      </c>
      <c r="I6" s="215" t="s">
        <v>188</v>
      </c>
      <c r="J6" s="215" t="s">
        <v>189</v>
      </c>
      <c r="K6" s="215" t="s">
        <v>190</v>
      </c>
      <c r="L6" s="215" t="s">
        <v>191</v>
      </c>
      <c r="M6" s="270"/>
    </row>
    <row r="7" spans="1:12" s="271" customFormat="1" ht="16.5" customHeight="1">
      <c r="A7" s="853" t="s">
        <v>6</v>
      </c>
      <c r="B7" s="853"/>
      <c r="C7" s="221">
        <v>1</v>
      </c>
      <c r="D7" s="221">
        <v>2</v>
      </c>
      <c r="E7" s="221">
        <v>3</v>
      </c>
      <c r="F7" s="221">
        <v>4</v>
      </c>
      <c r="G7" s="221">
        <v>5</v>
      </c>
      <c r="H7" s="221">
        <v>6</v>
      </c>
      <c r="I7" s="221">
        <v>7</v>
      </c>
      <c r="J7" s="221">
        <v>8</v>
      </c>
      <c r="K7" s="221">
        <v>9</v>
      </c>
      <c r="L7" s="221">
        <v>10</v>
      </c>
    </row>
    <row r="8" spans="1:12" s="271" customFormat="1" ht="16.5" customHeight="1">
      <c r="A8" s="840" t="s">
        <v>320</v>
      </c>
      <c r="B8" s="841"/>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38" t="s">
        <v>296</v>
      </c>
      <c r="B9" s="839"/>
      <c r="C9" s="224">
        <v>9</v>
      </c>
      <c r="D9" s="224">
        <v>2</v>
      </c>
      <c r="E9" s="224">
        <v>2</v>
      </c>
      <c r="F9" s="224">
        <v>0</v>
      </c>
      <c r="G9" s="224">
        <v>5</v>
      </c>
      <c r="H9" s="224">
        <v>8</v>
      </c>
      <c r="I9" s="224">
        <v>0</v>
      </c>
      <c r="J9" s="224">
        <v>8</v>
      </c>
      <c r="K9" s="224">
        <v>1</v>
      </c>
      <c r="L9" s="224">
        <v>0</v>
      </c>
    </row>
    <row r="10" spans="1:12" s="271" customFormat="1" ht="16.5" customHeight="1">
      <c r="A10" s="854" t="s">
        <v>176</v>
      </c>
      <c r="B10" s="854"/>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192</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265</v>
      </c>
      <c r="C13" s="272">
        <f aca="true" t="shared" si="3" ref="C13:C23">D13+E13+F13+G13</f>
        <v>0</v>
      </c>
      <c r="D13" s="231">
        <v>0</v>
      </c>
      <c r="E13" s="231">
        <v>0</v>
      </c>
      <c r="F13" s="231">
        <v>0</v>
      </c>
      <c r="G13" s="231">
        <v>0</v>
      </c>
      <c r="H13" s="231">
        <v>0</v>
      </c>
      <c r="I13" s="231">
        <v>0</v>
      </c>
      <c r="J13" s="273">
        <v>0</v>
      </c>
      <c r="K13" s="273">
        <v>0</v>
      </c>
      <c r="L13" s="273">
        <v>0</v>
      </c>
      <c r="AF13" s="271" t="s">
        <v>264</v>
      </c>
    </row>
    <row r="14" spans="1:37" s="271" customFormat="1" ht="16.5" customHeight="1">
      <c r="A14" s="274">
        <v>2</v>
      </c>
      <c r="B14" s="68" t="s">
        <v>297</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268</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269</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324</v>
      </c>
      <c r="C17" s="272">
        <f t="shared" si="3"/>
        <v>1</v>
      </c>
      <c r="D17" s="231">
        <v>0</v>
      </c>
      <c r="E17" s="231">
        <v>0</v>
      </c>
      <c r="F17" s="231">
        <v>0</v>
      </c>
      <c r="G17" s="231">
        <v>1</v>
      </c>
      <c r="H17" s="231">
        <v>1</v>
      </c>
      <c r="I17" s="231">
        <v>0</v>
      </c>
      <c r="J17" s="273">
        <v>1</v>
      </c>
      <c r="K17" s="273">
        <v>0</v>
      </c>
      <c r="L17" s="273">
        <v>0</v>
      </c>
      <c r="AF17" s="199" t="s">
        <v>267</v>
      </c>
    </row>
    <row r="18" spans="1:12" s="271" customFormat="1" ht="16.5" customHeight="1">
      <c r="A18" s="274">
        <v>6</v>
      </c>
      <c r="B18" s="68" t="s">
        <v>271</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276</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278</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279</v>
      </c>
      <c r="C21" s="272">
        <f t="shared" si="3"/>
        <v>0</v>
      </c>
      <c r="D21" s="231">
        <v>0</v>
      </c>
      <c r="E21" s="231">
        <v>0</v>
      </c>
      <c r="F21" s="231">
        <v>0</v>
      </c>
      <c r="G21" s="231">
        <v>0</v>
      </c>
      <c r="H21" s="231">
        <v>0</v>
      </c>
      <c r="I21" s="231">
        <v>0</v>
      </c>
      <c r="J21" s="273">
        <v>0</v>
      </c>
      <c r="K21" s="273">
        <v>0</v>
      </c>
      <c r="L21" s="273">
        <v>0</v>
      </c>
      <c r="AJ21" s="271" t="s">
        <v>272</v>
      </c>
      <c r="AK21" s="271" t="s">
        <v>273</v>
      </c>
      <c r="AL21" s="271" t="s">
        <v>274</v>
      </c>
      <c r="AM21" s="199" t="s">
        <v>275</v>
      </c>
    </row>
    <row r="22" spans="1:39" s="271" customFormat="1" ht="16.5" customHeight="1">
      <c r="A22" s="274">
        <v>10</v>
      </c>
      <c r="B22" s="68" t="s">
        <v>280</v>
      </c>
      <c r="C22" s="272">
        <f t="shared" si="3"/>
        <v>1</v>
      </c>
      <c r="D22" s="231">
        <v>0</v>
      </c>
      <c r="E22" s="231">
        <v>1</v>
      </c>
      <c r="F22" s="231">
        <v>0</v>
      </c>
      <c r="G22" s="231">
        <v>0</v>
      </c>
      <c r="H22" s="231">
        <v>1</v>
      </c>
      <c r="I22" s="231">
        <v>0</v>
      </c>
      <c r="J22" s="273">
        <v>1</v>
      </c>
      <c r="K22" s="273">
        <v>0</v>
      </c>
      <c r="L22" s="273">
        <v>0</v>
      </c>
      <c r="AM22" s="199" t="s">
        <v>277</v>
      </c>
    </row>
    <row r="23" spans="1:12" s="271" customFormat="1" ht="16.5" customHeight="1">
      <c r="A23" s="274">
        <v>11</v>
      </c>
      <c r="B23" s="68" t="s">
        <v>282</v>
      </c>
      <c r="C23" s="272">
        <f t="shared" si="3"/>
        <v>0</v>
      </c>
      <c r="D23" s="231">
        <v>0</v>
      </c>
      <c r="E23" s="231">
        <v>0</v>
      </c>
      <c r="F23" s="231">
        <v>0</v>
      </c>
      <c r="G23" s="231">
        <v>0</v>
      </c>
      <c r="H23" s="231">
        <v>0</v>
      </c>
      <c r="I23" s="231">
        <v>0</v>
      </c>
      <c r="J23" s="273">
        <v>0</v>
      </c>
      <c r="K23" s="273">
        <v>0</v>
      </c>
      <c r="L23" s="273">
        <v>0</v>
      </c>
    </row>
    <row r="24" ht="9" customHeight="1">
      <c r="AJ24" s="233" t="s">
        <v>272</v>
      </c>
    </row>
    <row r="25" spans="1:36" ht="15.75" customHeight="1">
      <c r="A25" s="787" t="s">
        <v>325</v>
      </c>
      <c r="B25" s="787"/>
      <c r="C25" s="787"/>
      <c r="D25" s="787"/>
      <c r="E25" s="182"/>
      <c r="F25" s="792" t="s">
        <v>283</v>
      </c>
      <c r="G25" s="792"/>
      <c r="H25" s="792"/>
      <c r="I25" s="792"/>
      <c r="J25" s="792"/>
      <c r="K25" s="792"/>
      <c r="L25" s="792"/>
      <c r="AJ25" s="190" t="s">
        <v>281</v>
      </c>
    </row>
    <row r="26" spans="1:44" ht="15" customHeight="1">
      <c r="A26" s="777" t="s">
        <v>149</v>
      </c>
      <c r="B26" s="777"/>
      <c r="C26" s="777"/>
      <c r="D26" s="777"/>
      <c r="E26" s="183"/>
      <c r="F26" s="780" t="s">
        <v>150</v>
      </c>
      <c r="G26" s="780"/>
      <c r="H26" s="780"/>
      <c r="I26" s="780"/>
      <c r="J26" s="780"/>
      <c r="K26" s="780"/>
      <c r="L26" s="780"/>
      <c r="AR26" s="190"/>
    </row>
    <row r="27" spans="1:12" s="170" customFormat="1" ht="18.75">
      <c r="A27" s="774"/>
      <c r="B27" s="774"/>
      <c r="C27" s="774"/>
      <c r="D27" s="774"/>
      <c r="E27" s="182"/>
      <c r="F27" s="775"/>
      <c r="G27" s="775"/>
      <c r="H27" s="775"/>
      <c r="I27" s="775"/>
      <c r="J27" s="775"/>
      <c r="K27" s="775"/>
      <c r="L27" s="775"/>
    </row>
    <row r="28" spans="1:35" ht="18">
      <c r="A28" s="187"/>
      <c r="B28" s="187"/>
      <c r="C28" s="182"/>
      <c r="D28" s="182"/>
      <c r="E28" s="182"/>
      <c r="F28" s="182"/>
      <c r="G28" s="182"/>
      <c r="H28" s="182"/>
      <c r="I28" s="182"/>
      <c r="J28" s="182"/>
      <c r="K28" s="182"/>
      <c r="L28" s="182"/>
      <c r="AG28" s="233" t="s">
        <v>284</v>
      </c>
      <c r="AI28" s="190">
        <f>82/88</f>
        <v>0.9318181818181818</v>
      </c>
    </row>
    <row r="29" spans="1:12" ht="18">
      <c r="A29" s="187"/>
      <c r="B29" s="836" t="s">
        <v>287</v>
      </c>
      <c r="C29" s="836"/>
      <c r="D29" s="182"/>
      <c r="E29" s="182"/>
      <c r="F29" s="182"/>
      <c r="G29" s="182"/>
      <c r="H29" s="836" t="s">
        <v>287</v>
      </c>
      <c r="I29" s="836"/>
      <c r="J29" s="836"/>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193</v>
      </c>
      <c r="B32" s="185"/>
      <c r="C32" s="186"/>
      <c r="D32" s="186"/>
      <c r="E32" s="186"/>
      <c r="F32" s="186"/>
      <c r="G32" s="186"/>
      <c r="H32" s="186"/>
      <c r="I32" s="186"/>
      <c r="J32" s="186"/>
      <c r="K32" s="186"/>
      <c r="L32" s="186"/>
    </row>
    <row r="33" spans="1:12" s="211" customFormat="1" ht="18.75" hidden="1">
      <c r="A33" s="237"/>
      <c r="B33" s="279" t="s">
        <v>194</v>
      </c>
      <c r="C33" s="279"/>
      <c r="D33" s="279"/>
      <c r="E33" s="236"/>
      <c r="F33" s="236"/>
      <c r="G33" s="236"/>
      <c r="H33" s="236"/>
      <c r="I33" s="236"/>
      <c r="J33" s="236"/>
      <c r="K33" s="236"/>
      <c r="L33" s="236"/>
    </row>
    <row r="34" spans="1:12" s="211" customFormat="1" ht="18.75" hidden="1">
      <c r="A34" s="237"/>
      <c r="B34" s="279" t="s">
        <v>195</v>
      </c>
      <c r="C34" s="279"/>
      <c r="D34" s="279"/>
      <c r="E34" s="279"/>
      <c r="F34" s="236"/>
      <c r="G34" s="236"/>
      <c r="H34" s="236"/>
      <c r="I34" s="236"/>
      <c r="J34" s="236"/>
      <c r="K34" s="236"/>
      <c r="L34" s="236"/>
    </row>
    <row r="35" spans="1:12" s="211" customFormat="1" ht="18.75" hidden="1">
      <c r="A35" s="237"/>
      <c r="B35" s="236" t="s">
        <v>196</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78" t="s">
        <v>240</v>
      </c>
      <c r="B37" s="678"/>
      <c r="C37" s="678"/>
      <c r="D37" s="678"/>
      <c r="E37" s="210"/>
      <c r="F37" s="679" t="s">
        <v>241</v>
      </c>
      <c r="G37" s="679"/>
      <c r="H37" s="679"/>
      <c r="I37" s="679"/>
      <c r="J37" s="679"/>
      <c r="K37" s="679"/>
      <c r="L37" s="679"/>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55" t="s">
        <v>197</v>
      </c>
      <c r="B1" s="855"/>
      <c r="C1" s="855"/>
      <c r="D1" s="845" t="s">
        <v>363</v>
      </c>
      <c r="E1" s="845"/>
      <c r="F1" s="845"/>
      <c r="G1" s="845"/>
      <c r="H1" s="845"/>
      <c r="I1" s="170"/>
      <c r="J1" s="171" t="s">
        <v>357</v>
      </c>
      <c r="K1" s="280"/>
      <c r="L1" s="280"/>
    </row>
    <row r="2" spans="1:12" ht="15.75" customHeight="1">
      <c r="A2" s="859" t="s">
        <v>298</v>
      </c>
      <c r="B2" s="859"/>
      <c r="C2" s="859"/>
      <c r="D2" s="845"/>
      <c r="E2" s="845"/>
      <c r="F2" s="845"/>
      <c r="G2" s="845"/>
      <c r="H2" s="845"/>
      <c r="I2" s="170"/>
      <c r="J2" s="281" t="s">
        <v>299</v>
      </c>
      <c r="K2" s="281"/>
      <c r="L2" s="281"/>
    </row>
    <row r="3" spans="1:12" ht="18.75" customHeight="1">
      <c r="A3" s="765" t="s">
        <v>250</v>
      </c>
      <c r="B3" s="765"/>
      <c r="C3" s="765"/>
      <c r="D3" s="167"/>
      <c r="E3" s="167"/>
      <c r="F3" s="167"/>
      <c r="G3" s="167"/>
      <c r="H3" s="167"/>
      <c r="I3" s="170"/>
      <c r="J3" s="174" t="s">
        <v>356</v>
      </c>
      <c r="K3" s="174"/>
      <c r="L3" s="174"/>
    </row>
    <row r="4" spans="1:12" ht="15.75" customHeight="1">
      <c r="A4" s="856" t="s">
        <v>326</v>
      </c>
      <c r="B4" s="856"/>
      <c r="C4" s="856"/>
      <c r="D4" s="871"/>
      <c r="E4" s="871"/>
      <c r="F4" s="871"/>
      <c r="G4" s="871"/>
      <c r="H4" s="871"/>
      <c r="I4" s="170"/>
      <c r="J4" s="282" t="s">
        <v>291</v>
      </c>
      <c r="K4" s="282"/>
      <c r="L4" s="282"/>
    </row>
    <row r="5" spans="1:12" ht="15.75">
      <c r="A5" s="860"/>
      <c r="B5" s="860"/>
      <c r="C5" s="166"/>
      <c r="D5" s="170"/>
      <c r="E5" s="170"/>
      <c r="F5" s="170"/>
      <c r="G5" s="170"/>
      <c r="H5" s="283"/>
      <c r="I5" s="872" t="s">
        <v>327</v>
      </c>
      <c r="J5" s="872"/>
      <c r="K5" s="872"/>
      <c r="L5" s="872"/>
    </row>
    <row r="6" spans="1:12" ht="18.75" customHeight="1">
      <c r="A6" s="757" t="s">
        <v>55</v>
      </c>
      <c r="B6" s="758"/>
      <c r="C6" s="867" t="s">
        <v>198</v>
      </c>
      <c r="D6" s="778" t="s">
        <v>199</v>
      </c>
      <c r="E6" s="870"/>
      <c r="F6" s="779"/>
      <c r="G6" s="778" t="s">
        <v>200</v>
      </c>
      <c r="H6" s="870"/>
      <c r="I6" s="870"/>
      <c r="J6" s="870"/>
      <c r="K6" s="870"/>
      <c r="L6" s="779"/>
    </row>
    <row r="7" spans="1:12" ht="15.75" customHeight="1">
      <c r="A7" s="759"/>
      <c r="B7" s="760"/>
      <c r="C7" s="869"/>
      <c r="D7" s="778" t="s">
        <v>7</v>
      </c>
      <c r="E7" s="870"/>
      <c r="F7" s="779"/>
      <c r="G7" s="867" t="s">
        <v>30</v>
      </c>
      <c r="H7" s="778" t="s">
        <v>7</v>
      </c>
      <c r="I7" s="870"/>
      <c r="J7" s="870"/>
      <c r="K7" s="870"/>
      <c r="L7" s="779"/>
    </row>
    <row r="8" spans="1:12" ht="14.25" customHeight="1">
      <c r="A8" s="759"/>
      <c r="B8" s="760"/>
      <c r="C8" s="869"/>
      <c r="D8" s="867" t="s">
        <v>201</v>
      </c>
      <c r="E8" s="867" t="s">
        <v>202</v>
      </c>
      <c r="F8" s="867" t="s">
        <v>203</v>
      </c>
      <c r="G8" s="869"/>
      <c r="H8" s="867" t="s">
        <v>204</v>
      </c>
      <c r="I8" s="867" t="s">
        <v>205</v>
      </c>
      <c r="J8" s="867" t="s">
        <v>206</v>
      </c>
      <c r="K8" s="867" t="s">
        <v>207</v>
      </c>
      <c r="L8" s="867" t="s">
        <v>208</v>
      </c>
    </row>
    <row r="9" spans="1:12" ht="77.25" customHeight="1">
      <c r="A9" s="761"/>
      <c r="B9" s="762"/>
      <c r="C9" s="868"/>
      <c r="D9" s="868"/>
      <c r="E9" s="868"/>
      <c r="F9" s="868"/>
      <c r="G9" s="868"/>
      <c r="H9" s="868"/>
      <c r="I9" s="868"/>
      <c r="J9" s="868"/>
      <c r="K9" s="868"/>
      <c r="L9" s="868"/>
    </row>
    <row r="10" spans="1:12" s="271" customFormat="1" ht="16.5" customHeight="1">
      <c r="A10" s="861" t="s">
        <v>6</v>
      </c>
      <c r="B10" s="862"/>
      <c r="C10" s="220">
        <v>1</v>
      </c>
      <c r="D10" s="220">
        <v>2</v>
      </c>
      <c r="E10" s="220">
        <v>3</v>
      </c>
      <c r="F10" s="220">
        <v>4</v>
      </c>
      <c r="G10" s="220">
        <v>5</v>
      </c>
      <c r="H10" s="220">
        <v>6</v>
      </c>
      <c r="I10" s="220">
        <v>7</v>
      </c>
      <c r="J10" s="220">
        <v>8</v>
      </c>
      <c r="K10" s="221" t="s">
        <v>61</v>
      </c>
      <c r="L10" s="221" t="s">
        <v>81</v>
      </c>
    </row>
    <row r="11" spans="1:12" s="271" customFormat="1" ht="16.5" customHeight="1">
      <c r="A11" s="865" t="s">
        <v>295</v>
      </c>
      <c r="B11" s="866"/>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63" t="s">
        <v>296</v>
      </c>
      <c r="B12" s="864"/>
      <c r="C12" s="224">
        <v>12</v>
      </c>
      <c r="D12" s="224">
        <v>0</v>
      </c>
      <c r="E12" s="224">
        <v>1</v>
      </c>
      <c r="F12" s="224">
        <v>11</v>
      </c>
      <c r="G12" s="224">
        <v>10</v>
      </c>
      <c r="H12" s="224">
        <v>0</v>
      </c>
      <c r="I12" s="224">
        <v>0</v>
      </c>
      <c r="J12" s="224">
        <v>0</v>
      </c>
      <c r="K12" s="224">
        <v>6</v>
      </c>
      <c r="L12" s="224">
        <v>4</v>
      </c>
    </row>
    <row r="13" spans="1:32" s="271" customFormat="1" ht="16.5" customHeight="1">
      <c r="A13" s="857" t="s">
        <v>30</v>
      </c>
      <c r="B13" s="858"/>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264</v>
      </c>
    </row>
    <row r="14" spans="1:37" s="271" customFormat="1" ht="16.5" customHeight="1">
      <c r="A14" s="274" t="s">
        <v>0</v>
      </c>
      <c r="B14" s="198" t="s">
        <v>127</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265</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266</v>
      </c>
      <c r="C17" s="226">
        <f t="shared" si="2"/>
        <v>1</v>
      </c>
      <c r="D17" s="231">
        <v>0</v>
      </c>
      <c r="E17" s="231">
        <v>0</v>
      </c>
      <c r="F17" s="231">
        <v>1</v>
      </c>
      <c r="G17" s="226">
        <f t="shared" si="1"/>
        <v>1</v>
      </c>
      <c r="H17" s="231">
        <v>0</v>
      </c>
      <c r="I17" s="231">
        <v>0</v>
      </c>
      <c r="J17" s="273">
        <v>0</v>
      </c>
      <c r="K17" s="273">
        <v>0</v>
      </c>
      <c r="L17" s="273">
        <v>1</v>
      </c>
      <c r="M17" s="285"/>
      <c r="AF17" s="199" t="s">
        <v>267</v>
      </c>
    </row>
    <row r="18" spans="1:14" s="271" customFormat="1" ht="15.75" customHeight="1">
      <c r="A18" s="200">
        <v>3</v>
      </c>
      <c r="B18" s="68" t="s">
        <v>268</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269</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270</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271</v>
      </c>
      <c r="C21" s="226">
        <f t="shared" si="2"/>
        <v>0</v>
      </c>
      <c r="D21" s="231">
        <v>0</v>
      </c>
      <c r="E21" s="231">
        <v>0</v>
      </c>
      <c r="F21" s="231">
        <v>0</v>
      </c>
      <c r="G21" s="226">
        <f t="shared" si="1"/>
        <v>0</v>
      </c>
      <c r="H21" s="231">
        <v>0</v>
      </c>
      <c r="I21" s="231">
        <v>0</v>
      </c>
      <c r="J21" s="273">
        <v>0</v>
      </c>
      <c r="K21" s="273">
        <v>0</v>
      </c>
      <c r="L21" s="273">
        <v>0</v>
      </c>
      <c r="M21" s="285"/>
      <c r="AJ21" s="271" t="s">
        <v>272</v>
      </c>
      <c r="AK21" s="271" t="s">
        <v>273</v>
      </c>
      <c r="AL21" s="271" t="s">
        <v>274</v>
      </c>
      <c r="AM21" s="199" t="s">
        <v>275</v>
      </c>
    </row>
    <row r="22" spans="1:39" s="271" customFormat="1" ht="15.75" customHeight="1">
      <c r="A22" s="200">
        <v>7</v>
      </c>
      <c r="B22" s="68" t="s">
        <v>276</v>
      </c>
      <c r="C22" s="226">
        <f t="shared" si="2"/>
        <v>0</v>
      </c>
      <c r="D22" s="231">
        <v>0</v>
      </c>
      <c r="E22" s="231">
        <v>0</v>
      </c>
      <c r="F22" s="231">
        <v>0</v>
      </c>
      <c r="G22" s="226">
        <f t="shared" si="1"/>
        <v>0</v>
      </c>
      <c r="H22" s="231">
        <v>0</v>
      </c>
      <c r="I22" s="231">
        <v>0</v>
      </c>
      <c r="J22" s="273">
        <v>0</v>
      </c>
      <c r="K22" s="273">
        <v>0</v>
      </c>
      <c r="L22" s="273">
        <v>0</v>
      </c>
      <c r="M22" s="285"/>
      <c r="N22" s="178"/>
      <c r="AM22" s="199" t="s">
        <v>277</v>
      </c>
    </row>
    <row r="23" spans="1:13" s="271" customFormat="1" ht="15.75" customHeight="1">
      <c r="A23" s="200">
        <v>8</v>
      </c>
      <c r="B23" s="68" t="s">
        <v>278</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279</v>
      </c>
      <c r="C24" s="226">
        <f t="shared" si="2"/>
        <v>0</v>
      </c>
      <c r="D24" s="231">
        <v>0</v>
      </c>
      <c r="E24" s="231">
        <v>0</v>
      </c>
      <c r="F24" s="231">
        <v>0</v>
      </c>
      <c r="G24" s="226">
        <f t="shared" si="1"/>
        <v>0</v>
      </c>
      <c r="H24" s="231">
        <v>0</v>
      </c>
      <c r="I24" s="231">
        <v>0</v>
      </c>
      <c r="J24" s="273">
        <v>0</v>
      </c>
      <c r="K24" s="273">
        <v>0</v>
      </c>
      <c r="L24" s="273">
        <v>0</v>
      </c>
      <c r="M24" s="285"/>
      <c r="AJ24" s="271" t="s">
        <v>272</v>
      </c>
    </row>
    <row r="25" spans="1:36" s="271" customFormat="1" ht="15.75" customHeight="1">
      <c r="A25" s="200">
        <v>10</v>
      </c>
      <c r="B25" s="68" t="s">
        <v>280</v>
      </c>
      <c r="C25" s="226">
        <f t="shared" si="2"/>
        <v>1</v>
      </c>
      <c r="D25" s="231">
        <v>0</v>
      </c>
      <c r="E25" s="231">
        <v>0</v>
      </c>
      <c r="F25" s="231">
        <v>1</v>
      </c>
      <c r="G25" s="226">
        <f t="shared" si="1"/>
        <v>1</v>
      </c>
      <c r="H25" s="231">
        <v>0</v>
      </c>
      <c r="I25" s="231">
        <v>0</v>
      </c>
      <c r="J25" s="273">
        <v>0</v>
      </c>
      <c r="K25" s="273">
        <v>0</v>
      </c>
      <c r="L25" s="273">
        <v>1</v>
      </c>
      <c r="M25" s="285"/>
      <c r="AJ25" s="199" t="s">
        <v>281</v>
      </c>
    </row>
    <row r="26" spans="1:44" s="271" customFormat="1" ht="15.75" customHeight="1">
      <c r="A26" s="200">
        <v>11</v>
      </c>
      <c r="B26" s="68" t="s">
        <v>282</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87" t="s">
        <v>283</v>
      </c>
      <c r="B28" s="787"/>
      <c r="C28" s="787"/>
      <c r="D28" s="787"/>
      <c r="E28" s="787"/>
      <c r="F28" s="182"/>
      <c r="G28" s="181"/>
      <c r="H28" s="294" t="s">
        <v>328</v>
      </c>
      <c r="I28" s="295"/>
      <c r="J28" s="295"/>
      <c r="K28" s="295"/>
      <c r="L28" s="295"/>
      <c r="AG28" s="233" t="s">
        <v>284</v>
      </c>
      <c r="AI28" s="190">
        <f>82/88</f>
        <v>0.9318181818181818</v>
      </c>
    </row>
    <row r="29" spans="1:12" ht="15" customHeight="1">
      <c r="A29" s="777" t="s">
        <v>4</v>
      </c>
      <c r="B29" s="777"/>
      <c r="C29" s="777"/>
      <c r="D29" s="777"/>
      <c r="E29" s="777"/>
      <c r="F29" s="182"/>
      <c r="G29" s="183"/>
      <c r="H29" s="780" t="s">
        <v>150</v>
      </c>
      <c r="I29" s="780"/>
      <c r="J29" s="780"/>
      <c r="K29" s="780"/>
      <c r="L29" s="780"/>
    </row>
    <row r="30" spans="1:14" s="170" customFormat="1" ht="18.75">
      <c r="A30" s="774"/>
      <c r="B30" s="774"/>
      <c r="C30" s="774"/>
      <c r="D30" s="774"/>
      <c r="E30" s="774"/>
      <c r="F30" s="296"/>
      <c r="G30" s="182"/>
      <c r="H30" s="775"/>
      <c r="I30" s="775"/>
      <c r="J30" s="775"/>
      <c r="K30" s="775"/>
      <c r="L30" s="775"/>
      <c r="M30" s="297"/>
      <c r="N30" s="297"/>
    </row>
    <row r="31" spans="1:12" ht="18">
      <c r="A31" s="182"/>
      <c r="B31" s="182"/>
      <c r="C31" s="182"/>
      <c r="D31" s="182"/>
      <c r="E31" s="182"/>
      <c r="F31" s="182"/>
      <c r="G31" s="182"/>
      <c r="H31" s="182"/>
      <c r="I31" s="182"/>
      <c r="J31" s="182"/>
      <c r="K31" s="182"/>
      <c r="L31" s="298"/>
    </row>
    <row r="32" spans="1:12" ht="18">
      <c r="A32" s="182"/>
      <c r="B32" s="836" t="s">
        <v>287</v>
      </c>
      <c r="C32" s="836"/>
      <c r="D32" s="836"/>
      <c r="E32" s="836"/>
      <c r="F32" s="182"/>
      <c r="G32" s="182"/>
      <c r="H32" s="182"/>
      <c r="I32" s="836" t="s">
        <v>287</v>
      </c>
      <c r="J32" s="836"/>
      <c r="K32" s="836"/>
      <c r="L32" s="298"/>
    </row>
    <row r="33" spans="1:12" ht="10.5" customHeight="1">
      <c r="A33" s="182"/>
      <c r="B33" s="182"/>
      <c r="C33" s="299" t="s">
        <v>286</v>
      </c>
      <c r="D33" s="299"/>
      <c r="E33" s="299"/>
      <c r="F33" s="299"/>
      <c r="G33" s="299"/>
      <c r="H33" s="299"/>
      <c r="I33" s="299"/>
      <c r="J33" s="300" t="s">
        <v>286</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73" t="s">
        <v>209</v>
      </c>
      <c r="C40" s="873"/>
      <c r="D40" s="873"/>
      <c r="E40" s="873"/>
      <c r="F40" s="873"/>
      <c r="G40" s="303"/>
      <c r="H40" s="301"/>
      <c r="I40" s="301"/>
      <c r="J40" s="301"/>
      <c r="K40" s="301"/>
      <c r="L40" s="301"/>
      <c r="M40" s="265"/>
      <c r="N40" s="265"/>
      <c r="O40" s="265"/>
      <c r="P40" s="265"/>
    </row>
    <row r="41" spans="1:12" ht="12.75" customHeight="1" hidden="1">
      <c r="A41" s="182"/>
      <c r="B41" s="279" t="s">
        <v>210</v>
      </c>
      <c r="C41" s="304"/>
      <c r="D41" s="304"/>
      <c r="E41" s="304"/>
      <c r="F41" s="304"/>
      <c r="G41" s="182"/>
      <c r="H41" s="301"/>
      <c r="I41" s="301"/>
      <c r="J41" s="301"/>
      <c r="K41" s="301"/>
      <c r="L41" s="301"/>
    </row>
    <row r="42" spans="1:12" ht="12.75" customHeight="1" hidden="1">
      <c r="A42" s="182"/>
      <c r="B42" s="236" t="s">
        <v>211</v>
      </c>
      <c r="C42" s="304"/>
      <c r="D42" s="304"/>
      <c r="E42" s="304"/>
      <c r="F42" s="304"/>
      <c r="G42" s="182"/>
      <c r="H42" s="301"/>
      <c r="I42" s="301"/>
      <c r="J42" s="301"/>
      <c r="K42" s="301"/>
      <c r="L42" s="301"/>
    </row>
    <row r="43" spans="1:12" ht="18.75">
      <c r="A43" s="678" t="s">
        <v>329</v>
      </c>
      <c r="B43" s="678"/>
      <c r="C43" s="678"/>
      <c r="D43" s="678"/>
      <c r="E43" s="678"/>
      <c r="F43" s="182"/>
      <c r="G43" s="301"/>
      <c r="H43" s="679" t="s">
        <v>241</v>
      </c>
      <c r="I43" s="679"/>
      <c r="J43" s="679"/>
      <c r="K43" s="679"/>
      <c r="L43" s="679"/>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68" t="s">
        <v>212</v>
      </c>
      <c r="B1" s="768"/>
      <c r="C1" s="768"/>
      <c r="D1" s="768"/>
      <c r="E1" s="306"/>
      <c r="F1" s="763" t="s">
        <v>364</v>
      </c>
      <c r="G1" s="763"/>
      <c r="H1" s="763"/>
      <c r="I1" s="763"/>
      <c r="J1" s="763"/>
      <c r="K1" s="763"/>
      <c r="L1" s="763"/>
      <c r="M1" s="763"/>
      <c r="N1" s="763"/>
      <c r="O1" s="763"/>
      <c r="P1" s="307" t="s">
        <v>288</v>
      </c>
      <c r="Q1" s="308"/>
      <c r="R1" s="308"/>
      <c r="S1" s="308"/>
      <c r="T1" s="308"/>
    </row>
    <row r="2" spans="1:20" s="177" customFormat="1" ht="20.25" customHeight="1">
      <c r="A2" s="887" t="s">
        <v>298</v>
      </c>
      <c r="B2" s="887"/>
      <c r="C2" s="887"/>
      <c r="D2" s="887"/>
      <c r="E2" s="306"/>
      <c r="F2" s="763"/>
      <c r="G2" s="763"/>
      <c r="H2" s="763"/>
      <c r="I2" s="763"/>
      <c r="J2" s="763"/>
      <c r="K2" s="763"/>
      <c r="L2" s="763"/>
      <c r="M2" s="763"/>
      <c r="N2" s="763"/>
      <c r="O2" s="763"/>
      <c r="P2" s="308" t="s">
        <v>330</v>
      </c>
      <c r="Q2" s="308"/>
      <c r="R2" s="308"/>
      <c r="S2" s="308"/>
      <c r="T2" s="308"/>
    </row>
    <row r="3" spans="1:20" s="177" customFormat="1" ht="15" customHeight="1">
      <c r="A3" s="887" t="s">
        <v>250</v>
      </c>
      <c r="B3" s="887"/>
      <c r="C3" s="887"/>
      <c r="D3" s="887"/>
      <c r="E3" s="306"/>
      <c r="F3" s="763"/>
      <c r="G3" s="763"/>
      <c r="H3" s="763"/>
      <c r="I3" s="763"/>
      <c r="J3" s="763"/>
      <c r="K3" s="763"/>
      <c r="L3" s="763"/>
      <c r="M3" s="763"/>
      <c r="N3" s="763"/>
      <c r="O3" s="763"/>
      <c r="P3" s="307" t="s">
        <v>356</v>
      </c>
      <c r="Q3" s="307"/>
      <c r="R3" s="307"/>
      <c r="S3" s="309"/>
      <c r="T3" s="309"/>
    </row>
    <row r="4" spans="1:20" s="177" customFormat="1" ht="15.75" customHeight="1">
      <c r="A4" s="889" t="s">
        <v>331</v>
      </c>
      <c r="B4" s="889"/>
      <c r="C4" s="889"/>
      <c r="D4" s="889"/>
      <c r="E4" s="307"/>
      <c r="F4" s="763"/>
      <c r="G4" s="763"/>
      <c r="H4" s="763"/>
      <c r="I4" s="763"/>
      <c r="J4" s="763"/>
      <c r="K4" s="763"/>
      <c r="L4" s="763"/>
      <c r="M4" s="763"/>
      <c r="N4" s="763"/>
      <c r="O4" s="763"/>
      <c r="P4" s="308" t="s">
        <v>300</v>
      </c>
      <c r="Q4" s="307"/>
      <c r="R4" s="307"/>
      <c r="S4" s="309"/>
      <c r="T4" s="309"/>
    </row>
    <row r="5" spans="1:18" s="177" customFormat="1" ht="24" customHeight="1">
      <c r="A5" s="310"/>
      <c r="B5" s="310"/>
      <c r="C5" s="310"/>
      <c r="F5" s="888"/>
      <c r="G5" s="888"/>
      <c r="H5" s="888"/>
      <c r="I5" s="888"/>
      <c r="J5" s="888"/>
      <c r="K5" s="888"/>
      <c r="L5" s="888"/>
      <c r="M5" s="888"/>
      <c r="N5" s="888"/>
      <c r="O5" s="888"/>
      <c r="P5" s="311" t="s">
        <v>332</v>
      </c>
      <c r="Q5" s="312"/>
      <c r="R5" s="312"/>
    </row>
    <row r="6" spans="1:20" s="313" customFormat="1" ht="21.75" customHeight="1">
      <c r="A6" s="880" t="s">
        <v>55</v>
      </c>
      <c r="B6" s="881"/>
      <c r="C6" s="771" t="s">
        <v>31</v>
      </c>
      <c r="D6" s="755"/>
      <c r="E6" s="771" t="s">
        <v>7</v>
      </c>
      <c r="F6" s="886"/>
      <c r="G6" s="886"/>
      <c r="H6" s="886"/>
      <c r="I6" s="886"/>
      <c r="J6" s="886"/>
      <c r="K6" s="886"/>
      <c r="L6" s="886"/>
      <c r="M6" s="886"/>
      <c r="N6" s="886"/>
      <c r="O6" s="886"/>
      <c r="P6" s="886"/>
      <c r="Q6" s="886"/>
      <c r="R6" s="886"/>
      <c r="S6" s="886"/>
      <c r="T6" s="755"/>
    </row>
    <row r="7" spans="1:21" s="313" customFormat="1" ht="22.5" customHeight="1">
      <c r="A7" s="882"/>
      <c r="B7" s="883"/>
      <c r="C7" s="788" t="s">
        <v>333</v>
      </c>
      <c r="D7" s="788" t="s">
        <v>334</v>
      </c>
      <c r="E7" s="771" t="s">
        <v>213</v>
      </c>
      <c r="F7" s="874"/>
      <c r="G7" s="874"/>
      <c r="H7" s="874"/>
      <c r="I7" s="874"/>
      <c r="J7" s="874"/>
      <c r="K7" s="874"/>
      <c r="L7" s="875"/>
      <c r="M7" s="771" t="s">
        <v>335</v>
      </c>
      <c r="N7" s="886"/>
      <c r="O7" s="886"/>
      <c r="P7" s="886"/>
      <c r="Q7" s="886"/>
      <c r="R7" s="886"/>
      <c r="S7" s="886"/>
      <c r="T7" s="755"/>
      <c r="U7" s="314"/>
    </row>
    <row r="8" spans="1:20" s="313" customFormat="1" ht="42.75" customHeight="1">
      <c r="A8" s="882"/>
      <c r="B8" s="883"/>
      <c r="C8" s="789"/>
      <c r="D8" s="789"/>
      <c r="E8" s="752" t="s">
        <v>336</v>
      </c>
      <c r="F8" s="752"/>
      <c r="G8" s="771" t="s">
        <v>337</v>
      </c>
      <c r="H8" s="886"/>
      <c r="I8" s="886"/>
      <c r="J8" s="886"/>
      <c r="K8" s="886"/>
      <c r="L8" s="755"/>
      <c r="M8" s="752" t="s">
        <v>338</v>
      </c>
      <c r="N8" s="752"/>
      <c r="O8" s="771" t="s">
        <v>337</v>
      </c>
      <c r="P8" s="886"/>
      <c r="Q8" s="886"/>
      <c r="R8" s="886"/>
      <c r="S8" s="886"/>
      <c r="T8" s="755"/>
    </row>
    <row r="9" spans="1:20" s="313" customFormat="1" ht="35.25" customHeight="1">
      <c r="A9" s="882"/>
      <c r="B9" s="883"/>
      <c r="C9" s="789"/>
      <c r="D9" s="789"/>
      <c r="E9" s="788" t="s">
        <v>214</v>
      </c>
      <c r="F9" s="788" t="s">
        <v>215</v>
      </c>
      <c r="G9" s="884" t="s">
        <v>216</v>
      </c>
      <c r="H9" s="885"/>
      <c r="I9" s="884" t="s">
        <v>217</v>
      </c>
      <c r="J9" s="885"/>
      <c r="K9" s="884" t="s">
        <v>218</v>
      </c>
      <c r="L9" s="885"/>
      <c r="M9" s="788" t="s">
        <v>219</v>
      </c>
      <c r="N9" s="788" t="s">
        <v>215</v>
      </c>
      <c r="O9" s="884" t="s">
        <v>216</v>
      </c>
      <c r="P9" s="885"/>
      <c r="Q9" s="884" t="s">
        <v>220</v>
      </c>
      <c r="R9" s="885"/>
      <c r="S9" s="884" t="s">
        <v>221</v>
      </c>
      <c r="T9" s="885"/>
    </row>
    <row r="10" spans="1:20" s="313" customFormat="1" ht="25.5" customHeight="1">
      <c r="A10" s="884"/>
      <c r="B10" s="885"/>
      <c r="C10" s="790"/>
      <c r="D10" s="790"/>
      <c r="E10" s="790"/>
      <c r="F10" s="790"/>
      <c r="G10" s="215" t="s">
        <v>219</v>
      </c>
      <c r="H10" s="215" t="s">
        <v>215</v>
      </c>
      <c r="I10" s="219" t="s">
        <v>219</v>
      </c>
      <c r="J10" s="215" t="s">
        <v>215</v>
      </c>
      <c r="K10" s="219" t="s">
        <v>219</v>
      </c>
      <c r="L10" s="215" t="s">
        <v>215</v>
      </c>
      <c r="M10" s="790"/>
      <c r="N10" s="790"/>
      <c r="O10" s="215" t="s">
        <v>219</v>
      </c>
      <c r="P10" s="215" t="s">
        <v>215</v>
      </c>
      <c r="Q10" s="219" t="s">
        <v>219</v>
      </c>
      <c r="R10" s="215" t="s">
        <v>215</v>
      </c>
      <c r="S10" s="219" t="s">
        <v>219</v>
      </c>
      <c r="T10" s="215" t="s">
        <v>215</v>
      </c>
    </row>
    <row r="11" spans="1:32" s="222" customFormat="1" ht="12.75">
      <c r="A11" s="878" t="s">
        <v>6</v>
      </c>
      <c r="B11" s="879"/>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264</v>
      </c>
    </row>
    <row r="12" spans="1:20" s="222" customFormat="1" ht="20.25" customHeight="1">
      <c r="A12" s="876" t="s">
        <v>320</v>
      </c>
      <c r="B12" s="877"/>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92" t="s">
        <v>296</v>
      </c>
      <c r="B13" s="893"/>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90" t="s">
        <v>30</v>
      </c>
      <c r="B14" s="891"/>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127</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265</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267</v>
      </c>
    </row>
    <row r="18" spans="1:20" s="178" customFormat="1" ht="15.75" customHeight="1">
      <c r="A18" s="200">
        <v>2</v>
      </c>
      <c r="B18" s="68" t="s">
        <v>297</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268</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269</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270</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272</v>
      </c>
      <c r="AK21" s="178" t="s">
        <v>273</v>
      </c>
      <c r="AL21" s="178" t="s">
        <v>274</v>
      </c>
      <c r="AM21" s="199" t="s">
        <v>275</v>
      </c>
    </row>
    <row r="22" spans="1:39" s="178" customFormat="1" ht="15.75" customHeight="1">
      <c r="A22" s="200">
        <v>6</v>
      </c>
      <c r="B22" s="68" t="s">
        <v>271</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277</v>
      </c>
    </row>
    <row r="23" spans="1:20" s="178" customFormat="1" ht="15.75" customHeight="1">
      <c r="A23" s="200">
        <v>7</v>
      </c>
      <c r="B23" s="68" t="s">
        <v>276</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278</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272</v>
      </c>
    </row>
    <row r="25" spans="1:36" s="178" customFormat="1" ht="15.75" customHeight="1">
      <c r="A25" s="200">
        <v>9</v>
      </c>
      <c r="B25" s="68" t="s">
        <v>279</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281</v>
      </c>
    </row>
    <row r="26" spans="1:44" s="178" customFormat="1" ht="15.75" customHeight="1">
      <c r="A26" s="200">
        <v>10</v>
      </c>
      <c r="B26" s="68" t="s">
        <v>280</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282</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284</v>
      </c>
      <c r="AI28" s="190">
        <f>82/88</f>
        <v>0.9318181818181818</v>
      </c>
    </row>
    <row r="29" spans="1:20" ht="15.75" customHeight="1">
      <c r="A29" s="180"/>
      <c r="B29" s="787" t="s">
        <v>283</v>
      </c>
      <c r="C29" s="787"/>
      <c r="D29" s="787"/>
      <c r="E29" s="787"/>
      <c r="F29" s="787"/>
      <c r="G29" s="787"/>
      <c r="H29" s="181"/>
      <c r="I29" s="181"/>
      <c r="J29" s="182"/>
      <c r="K29" s="181"/>
      <c r="L29" s="792" t="s">
        <v>283</v>
      </c>
      <c r="M29" s="792"/>
      <c r="N29" s="792"/>
      <c r="O29" s="792"/>
      <c r="P29" s="792"/>
      <c r="Q29" s="792"/>
      <c r="R29" s="792"/>
      <c r="S29" s="792"/>
      <c r="T29" s="792"/>
    </row>
    <row r="30" spans="1:20" ht="15" customHeight="1">
      <c r="A30" s="180"/>
      <c r="B30" s="777" t="s">
        <v>35</v>
      </c>
      <c r="C30" s="777"/>
      <c r="D30" s="777"/>
      <c r="E30" s="777"/>
      <c r="F30" s="777"/>
      <c r="G30" s="777"/>
      <c r="H30" s="183"/>
      <c r="I30" s="183"/>
      <c r="J30" s="183"/>
      <c r="K30" s="183"/>
      <c r="L30" s="780" t="s">
        <v>239</v>
      </c>
      <c r="M30" s="780"/>
      <c r="N30" s="780"/>
      <c r="O30" s="780"/>
      <c r="P30" s="780"/>
      <c r="Q30" s="780"/>
      <c r="R30" s="780"/>
      <c r="S30" s="780"/>
      <c r="T30" s="780"/>
    </row>
    <row r="31" spans="1:20" s="320" customFormat="1" ht="18.75">
      <c r="A31" s="318"/>
      <c r="B31" s="774"/>
      <c r="C31" s="774"/>
      <c r="D31" s="774"/>
      <c r="E31" s="774"/>
      <c r="F31" s="774"/>
      <c r="G31" s="319"/>
      <c r="H31" s="319"/>
      <c r="I31" s="319"/>
      <c r="J31" s="319"/>
      <c r="K31" s="319"/>
      <c r="L31" s="775"/>
      <c r="M31" s="775"/>
      <c r="N31" s="775"/>
      <c r="O31" s="775"/>
      <c r="P31" s="775"/>
      <c r="Q31" s="775"/>
      <c r="R31" s="775"/>
      <c r="S31" s="775"/>
      <c r="T31" s="775"/>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94" t="s">
        <v>287</v>
      </c>
      <c r="C33" s="894"/>
      <c r="D33" s="894"/>
      <c r="E33" s="894"/>
      <c r="F33" s="894"/>
      <c r="G33" s="321"/>
      <c r="H33" s="321"/>
      <c r="I33" s="321"/>
      <c r="J33" s="321"/>
      <c r="K33" s="321"/>
      <c r="L33" s="321"/>
      <c r="M33" s="321"/>
      <c r="N33" s="321"/>
      <c r="O33" s="894" t="s">
        <v>287</v>
      </c>
      <c r="P33" s="894"/>
      <c r="Q33" s="894"/>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209</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210</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222</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78" t="s">
        <v>240</v>
      </c>
      <c r="C39" s="678"/>
      <c r="D39" s="678"/>
      <c r="E39" s="678"/>
      <c r="F39" s="678"/>
      <c r="G39" s="678"/>
      <c r="H39" s="182"/>
      <c r="I39" s="182"/>
      <c r="J39" s="182"/>
      <c r="K39" s="182"/>
      <c r="L39" s="679" t="s">
        <v>241</v>
      </c>
      <c r="M39" s="679"/>
      <c r="N39" s="679"/>
      <c r="O39" s="679"/>
      <c r="P39" s="679"/>
      <c r="Q39" s="679"/>
      <c r="R39" s="679"/>
      <c r="S39" s="679"/>
      <c r="T39" s="679"/>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D7:D10"/>
    <mergeCell ref="K9:L9"/>
    <mergeCell ref="B39:G39"/>
    <mergeCell ref="L29:T29"/>
    <mergeCell ref="L30:T30"/>
    <mergeCell ref="L39:T39"/>
    <mergeCell ref="B30:G30"/>
    <mergeCell ref="L31:T31"/>
    <mergeCell ref="B33:F33"/>
    <mergeCell ref="O33:Q33"/>
    <mergeCell ref="B31:F31"/>
    <mergeCell ref="B29:G29"/>
    <mergeCell ref="A14:B14"/>
    <mergeCell ref="E9:E10"/>
    <mergeCell ref="Q9:R9"/>
    <mergeCell ref="A13:B13"/>
    <mergeCell ref="A1:D1"/>
    <mergeCell ref="E8:F8"/>
    <mergeCell ref="E6:T6"/>
    <mergeCell ref="M8:N8"/>
    <mergeCell ref="S9:T9"/>
    <mergeCell ref="F1:O4"/>
    <mergeCell ref="F9:F10"/>
    <mergeCell ref="C7:C10"/>
    <mergeCell ref="A3:D3"/>
    <mergeCell ref="I9:J9"/>
    <mergeCell ref="A2:D2"/>
    <mergeCell ref="F5:O5"/>
    <mergeCell ref="C6:D6"/>
    <mergeCell ref="M7:T7"/>
    <mergeCell ref="A4:D4"/>
    <mergeCell ref="N9:N10"/>
    <mergeCell ref="E7:L7"/>
    <mergeCell ref="A12:B12"/>
    <mergeCell ref="A11:B11"/>
    <mergeCell ref="A6:B10"/>
    <mergeCell ref="O8:T8"/>
    <mergeCell ref="M9:M10"/>
    <mergeCell ref="G8:L8"/>
    <mergeCell ref="G9:H9"/>
    <mergeCell ref="O9:P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2017-02-08T07:16:54Z</cp:lastPrinted>
  <dcterms:created xsi:type="dcterms:W3CDTF">2004-03-07T02:36:29Z</dcterms:created>
  <dcterms:modified xsi:type="dcterms:W3CDTF">2017-02-08T08:02:06Z</dcterms:modified>
  <cp:category/>
  <cp:version/>
  <cp:contentType/>
  <cp:contentStatus/>
</cp:coreProperties>
</file>